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fileSharing userName="qqka2" algorithmName="SHA-512" hashValue="BtM44n5IYugsZ2OzO0R+qxBgpxm3aOfp4hZR87TrCbDYkB47IEuYxujJffecAYKdwVANFjfia5d01ebTfprLcw==" saltValue="Asbx4/qvMk/UDfH48zBmjA==" spinCount="100000"/>
  <workbookPr/>
  <mc:AlternateContent xmlns:mc="http://schemas.openxmlformats.org/markup-compatibility/2006">
    <mc:Choice Requires="x15">
      <x15ac:absPath xmlns:x15ac="http://schemas.microsoft.com/office/spreadsheetml/2010/11/ac" url="D:\mfujii555\mfujii555 files rev\Ⅰ．ingenierie financiere , theorie de ｌ’investissement en valeurs mobilieres\"/>
    </mc:Choice>
  </mc:AlternateContent>
  <xr:revisionPtr revIDLastSave="0" documentId="8_{EBE3EBEE-C990-4F44-BEBF-C59EDF005AA5}" xr6:coauthVersionLast="47" xr6:coauthVersionMax="47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リスク回避度推定" sheetId="2" state="hidden" r:id="rId1"/>
    <sheet name="ポートフォリオ選択" sheetId="3" r:id="rId2"/>
  </sheets>
  <definedNames>
    <definedName name="solver_adj" localSheetId="1" hidden="1">ポートフォリオ選択!$E$66:$G$66</definedName>
    <definedName name="solver_cvg" localSheetId="1" hidden="1">0.001</definedName>
    <definedName name="solver_drv" localSheetId="1" hidden="1">1</definedName>
    <definedName name="solver_eng" localSheetId="1" hidden="1">1</definedName>
    <definedName name="solver_est" localSheetId="1" hidden="1">1</definedName>
    <definedName name="solver_itr" localSheetId="1" hidden="1">100</definedName>
    <definedName name="solver_lhs1" localSheetId="1" hidden="1">ポートフォリオ選択!$E$66:$H$66</definedName>
    <definedName name="solver_lin" localSheetId="1" hidden="1">2</definedName>
    <definedName name="solver_mip" localSheetId="1" hidden="1">2147483647</definedName>
    <definedName name="solver_mni" localSheetId="1" hidden="1">30</definedName>
    <definedName name="solver_mrt" localSheetId="1" hidden="1">0.075</definedName>
    <definedName name="solver_msl" localSheetId="1" hidden="1">2</definedName>
    <definedName name="solver_neg" localSheetId="1" hidden="1">2</definedName>
    <definedName name="solver_nod" localSheetId="1" hidden="1">2147483647</definedName>
    <definedName name="solver_num" localSheetId="1" hidden="1">1</definedName>
    <definedName name="solver_nwt" localSheetId="1" hidden="1">1</definedName>
    <definedName name="solver_opt" localSheetId="1" hidden="1">ポートフォリオ選択!$E$69</definedName>
    <definedName name="solver_pre" localSheetId="1" hidden="1">0.000001</definedName>
    <definedName name="solver_rbv" localSheetId="1" hidden="1">1</definedName>
    <definedName name="solver_rel1" localSheetId="1" hidden="1">3</definedName>
    <definedName name="solver_rhs1" localSheetId="1" hidden="1">0</definedName>
    <definedName name="solver_rlx" localSheetId="1" hidden="1">1</definedName>
    <definedName name="solver_rsd" localSheetId="1" hidden="1">0</definedName>
    <definedName name="solver_scl" localSheetId="1" hidden="1">2</definedName>
    <definedName name="solver_sho" localSheetId="1" hidden="1">2</definedName>
    <definedName name="solver_ssz" localSheetId="1" hidden="1">100</definedName>
    <definedName name="solver_tim" localSheetId="1" hidden="1">100</definedName>
    <definedName name="solver_tol" localSheetId="1" hidden="1">0.05</definedName>
    <definedName name="solver_typ" localSheetId="1" hidden="1">1</definedName>
    <definedName name="solver_val" localSheetId="1" hidden="1">0</definedName>
    <definedName name="solver_ver" localSheetId="1" hidden="1">3</definedName>
  </definedNames>
  <calcPr calcId="191029"/>
</workbook>
</file>

<file path=xl/calcChain.xml><?xml version="1.0" encoding="utf-8"?>
<calcChain xmlns="http://schemas.openxmlformats.org/spreadsheetml/2006/main">
  <c r="G28" i="3" l="1"/>
  <c r="G27" i="3"/>
  <c r="F27" i="3"/>
  <c r="F29" i="3" l="1"/>
  <c r="E29" i="3"/>
  <c r="E28" i="3"/>
  <c r="Q89" i="3" l="1"/>
  <c r="J76" i="3"/>
  <c r="O87" i="3"/>
  <c r="G26" i="3"/>
  <c r="G34" i="3" s="1"/>
  <c r="F26" i="3"/>
  <c r="F34" i="3" s="1"/>
  <c r="E26" i="3"/>
  <c r="E34" i="3" s="1"/>
  <c r="G25" i="3"/>
  <c r="F25" i="3"/>
  <c r="E25" i="3"/>
  <c r="G40" i="3"/>
  <c r="D43" i="3" s="1"/>
  <c r="F40" i="3"/>
  <c r="D42" i="3" s="1"/>
  <c r="E40" i="3"/>
  <c r="D41" i="3" s="1"/>
  <c r="D21" i="3"/>
  <c r="D37" i="3" s="1"/>
  <c r="D20" i="3"/>
  <c r="D36" i="3" s="1"/>
  <c r="D19" i="3"/>
  <c r="D27" i="3" s="1"/>
  <c r="H6" i="2"/>
  <c r="J6" i="2" s="1"/>
  <c r="P6" i="2" s="1"/>
  <c r="H7" i="2"/>
  <c r="J7" i="2" s="1"/>
  <c r="L7" i="2" s="1"/>
  <c r="H5" i="2"/>
  <c r="J5" i="2" s="1"/>
  <c r="H8" i="2"/>
  <c r="J8" i="2" s="1"/>
  <c r="L8" i="2" s="1"/>
  <c r="H9" i="2"/>
  <c r="J9" i="2" s="1"/>
  <c r="N10" i="2"/>
  <c r="N9" i="2"/>
  <c r="R8" i="2" s="1"/>
  <c r="O9" i="2"/>
  <c r="N7" i="2"/>
  <c r="R7" i="2" s="1"/>
  <c r="N6" i="2"/>
  <c r="U7" i="2" s="1"/>
  <c r="N5" i="2"/>
  <c r="N4" i="2"/>
  <c r="R4" i="2" s="1"/>
  <c r="O8" i="2"/>
  <c r="O5" i="2"/>
  <c r="P88" i="3"/>
  <c r="G50" i="3"/>
  <c r="Z75" i="3" s="1"/>
  <c r="F50" i="3"/>
  <c r="U75" i="3" s="1"/>
  <c r="P75" i="3" s="1"/>
  <c r="Y75" i="3"/>
  <c r="E50" i="3"/>
  <c r="T75" i="3" s="1"/>
  <c r="O75" i="3" s="1"/>
  <c r="G37" i="3"/>
  <c r="G65" i="3"/>
  <c r="F65" i="3"/>
  <c r="E65" i="3"/>
  <c r="H66" i="3"/>
  <c r="G32" i="3"/>
  <c r="F32" i="3"/>
  <c r="E32" i="3"/>
  <c r="G24" i="3"/>
  <c r="F24" i="3"/>
  <c r="E24" i="3"/>
  <c r="F37" i="3"/>
  <c r="E37" i="3"/>
  <c r="F36" i="3"/>
  <c r="E36" i="3"/>
  <c r="G35" i="3"/>
  <c r="E35" i="3"/>
  <c r="F21" i="3"/>
  <c r="E21" i="3"/>
  <c r="E20" i="3"/>
  <c r="G36" i="3"/>
  <c r="U9" i="2"/>
  <c r="R9" i="2"/>
  <c r="O10" i="2"/>
  <c r="S8" i="2"/>
  <c r="L9" i="2" l="1"/>
  <c r="O4" i="2"/>
  <c r="U5" i="2"/>
  <c r="U8" i="2"/>
  <c r="R5" i="2"/>
  <c r="O6" i="2"/>
  <c r="U6" i="2"/>
  <c r="V75" i="3"/>
  <c r="Q75" i="3" s="1"/>
  <c r="O7" i="2"/>
  <c r="P7" i="2"/>
  <c r="R6" i="2"/>
  <c r="L5" i="2"/>
  <c r="F35" i="3"/>
  <c r="E41" i="3" s="1" a="1"/>
  <c r="D28" i="3"/>
  <c r="L6" i="2"/>
  <c r="P10" i="2"/>
  <c r="E67" i="3"/>
  <c r="N86" i="3" s="1"/>
  <c r="D29" i="3"/>
  <c r="I87" i="3" a="1"/>
  <c r="X75" i="3"/>
  <c r="D35" i="3"/>
  <c r="Y3" i="2" l="1"/>
  <c r="S7" i="2"/>
  <c r="S6" i="2"/>
  <c r="S9" i="2"/>
  <c r="V9" i="2" s="1"/>
  <c r="P4" i="2"/>
  <c r="Y4" i="2"/>
  <c r="P5" i="2"/>
  <c r="E41" i="3"/>
  <c r="E43" i="3"/>
  <c r="G42" i="3"/>
  <c r="F43" i="3"/>
  <c r="G41" i="3"/>
  <c r="E42" i="3"/>
  <c r="F41" i="3"/>
  <c r="G43" i="3"/>
  <c r="F42" i="3"/>
  <c r="I88" i="3"/>
  <c r="I89" i="3"/>
  <c r="I87" i="3"/>
  <c r="V7" i="2" l="1"/>
  <c r="Y5" i="2"/>
  <c r="Y11" i="2" s="1"/>
  <c r="AA3" i="2"/>
  <c r="V8" i="2"/>
  <c r="AA4" i="2"/>
  <c r="AA5" i="2" s="1"/>
  <c r="Y9" i="2"/>
  <c r="Y10" i="2"/>
  <c r="S4" i="2"/>
  <c r="S5" i="2"/>
  <c r="AF82" i="3" a="1"/>
  <c r="AF82" i="3" s="1"/>
  <c r="AE82" i="3" a="1"/>
  <c r="AE82" i="3" s="1"/>
  <c r="X82" i="3" s="1" a="1"/>
  <c r="AE84" i="3" a="1"/>
  <c r="AE84" i="3" s="1"/>
  <c r="AG77" i="3" a="1"/>
  <c r="AG77" i="3" s="1"/>
  <c r="AG76" i="3" a="1"/>
  <c r="AG76" i="3" s="1"/>
  <c r="AF80" i="3" a="1"/>
  <c r="AF80" i="3" s="1"/>
  <c r="AE81" i="3" a="1"/>
  <c r="AE81" i="3" s="1"/>
  <c r="AF77" i="3" a="1"/>
  <c r="AF77" i="3" s="1"/>
  <c r="AG78" i="3" a="1"/>
  <c r="AG78" i="3" s="1"/>
  <c r="AE78" i="3" a="1"/>
  <c r="AE78" i="3" s="1"/>
  <c r="AG79" i="3" a="1"/>
  <c r="AG79" i="3" s="1"/>
  <c r="AF78" i="3" a="1"/>
  <c r="AF78" i="3" s="1"/>
  <c r="AF79" i="3" a="1"/>
  <c r="AF79" i="3" s="1"/>
  <c r="AE79" i="3" a="1"/>
  <c r="AE79" i="3" s="1"/>
  <c r="AE76" i="3" a="1"/>
  <c r="AE76" i="3" s="1"/>
  <c r="X76" i="3" s="1" a="1"/>
  <c r="E68" i="3" a="1"/>
  <c r="E68" i="3" s="1"/>
  <c r="AF81" i="3" a="1"/>
  <c r="AF81" i="3" s="1"/>
  <c r="AE77" i="3" a="1"/>
  <c r="AE77" i="3" s="1"/>
  <c r="AE83" i="3" a="1"/>
  <c r="AE83" i="3" s="1"/>
  <c r="AG84" i="3" a="1"/>
  <c r="AG84" i="3" s="1"/>
  <c r="AF83" i="3" a="1"/>
  <c r="AF83" i="3" s="1"/>
  <c r="AF76" i="3" a="1"/>
  <c r="AF76" i="3" s="1"/>
  <c r="AG82" i="3" a="1"/>
  <c r="AG82" i="3" s="1"/>
  <c r="AG80" i="3" a="1"/>
  <c r="AG80" i="3" s="1"/>
  <c r="AG81" i="3" a="1"/>
  <c r="AG81" i="3" s="1"/>
  <c r="AG83" i="3" a="1"/>
  <c r="AG83" i="3" s="1"/>
  <c r="AE80" i="3" a="1"/>
  <c r="AE80" i="3" s="1"/>
  <c r="AF84" i="3" a="1"/>
  <c r="AF84" i="3" s="1"/>
  <c r="AB84" i="3" s="1"/>
  <c r="AB76" i="3" l="1"/>
  <c r="AC82" i="3"/>
  <c r="V5" i="2"/>
  <c r="V6" i="2"/>
  <c r="Y8" i="2" s="1"/>
  <c r="AC84" i="3"/>
  <c r="I86" i="3"/>
  <c r="X76" i="3"/>
  <c r="Y76" i="3"/>
  <c r="Z76" i="3"/>
  <c r="Z82" i="3"/>
  <c r="X82" i="3"/>
  <c r="Y82" i="3"/>
  <c r="AC76" i="3"/>
  <c r="AB82" i="3"/>
  <c r="T76" i="3" l="1" a="1"/>
  <c r="V76" i="3" s="1"/>
  <c r="Y7" i="2"/>
  <c r="Y12" i="2" s="1"/>
  <c r="F11" i="2" s="1"/>
  <c r="T84" i="3"/>
  <c r="V84" i="3"/>
  <c r="I82" i="3" a="1"/>
  <c r="I82" i="3" s="1"/>
  <c r="U84" i="3"/>
  <c r="T76" i="3" l="1"/>
  <c r="U76" i="3"/>
  <c r="L84" i="3"/>
  <c r="J78" i="3" s="1"/>
  <c r="J81" i="3" s="1"/>
  <c r="I84" i="3" a="1"/>
  <c r="I84" i="3" s="1"/>
  <c r="E51" i="3" a="1"/>
  <c r="E69" i="3"/>
  <c r="I76" i="3" a="1"/>
  <c r="I76" i="3" s="1"/>
  <c r="X78" i="3" l="1" a="1"/>
  <c r="Y78" i="3" s="1"/>
  <c r="J77" i="3"/>
  <c r="AC78" i="3"/>
  <c r="AB78" i="3"/>
  <c r="G51" i="3"/>
  <c r="F51" i="3"/>
  <c r="E51" i="3"/>
  <c r="X81" i="3" a="1"/>
  <c r="AB81" i="3"/>
  <c r="AC81" i="3"/>
  <c r="AC77" i="3"/>
  <c r="X77" i="3" a="1"/>
  <c r="AB77" i="3"/>
  <c r="J79" i="3"/>
  <c r="J80" i="3"/>
  <c r="Z78" i="3" l="1"/>
  <c r="X78" i="3"/>
  <c r="T78" i="3" a="1"/>
  <c r="V78" i="3" s="1"/>
  <c r="T77" i="3" a="1"/>
  <c r="V77" i="3" s="1"/>
  <c r="M85" i="3"/>
  <c r="R93" i="3" s="1"/>
  <c r="I85" i="3" a="1"/>
  <c r="I85" i="3" s="1"/>
  <c r="I93" i="3" s="1"/>
  <c r="H51" i="3"/>
  <c r="AC80" i="3"/>
  <c r="X80" i="3" a="1"/>
  <c r="AB80" i="3"/>
  <c r="X77" i="3"/>
  <c r="Y77" i="3"/>
  <c r="Z77" i="3"/>
  <c r="Y81" i="3"/>
  <c r="X81" i="3"/>
  <c r="Z81" i="3"/>
  <c r="AB79" i="3"/>
  <c r="AC79" i="3"/>
  <c r="X79" i="3" a="1"/>
  <c r="T81" i="3" a="1"/>
  <c r="T78" i="3" l="1"/>
  <c r="U78" i="3"/>
  <c r="T77" i="3"/>
  <c r="T80" i="3" a="1"/>
  <c r="V80" i="3" s="1"/>
  <c r="U77" i="3"/>
  <c r="I92" i="3"/>
  <c r="R92" i="3" s="1"/>
  <c r="I94" i="3"/>
  <c r="R94" i="3" s="1"/>
  <c r="I95" i="3"/>
  <c r="R95" i="3" s="1"/>
  <c r="R90" i="3"/>
  <c r="I91" i="3"/>
  <c r="R91" i="3" s="1"/>
  <c r="T79" i="3" a="1"/>
  <c r="Z80" i="3"/>
  <c r="X80" i="3"/>
  <c r="Y80" i="3"/>
  <c r="U81" i="3"/>
  <c r="T81" i="3"/>
  <c r="V81" i="3"/>
  <c r="Z79" i="3"/>
  <c r="Y79" i="3"/>
  <c r="X79" i="3"/>
  <c r="I78" i="3" l="1" a="1"/>
  <c r="I78" i="3" s="1"/>
  <c r="U80" i="3"/>
  <c r="I80" i="3" s="1" a="1"/>
  <c r="I80" i="3" s="1"/>
  <c r="T80" i="3"/>
  <c r="I77" i="3" a="1"/>
  <c r="I77" i="3" s="1"/>
  <c r="K83" i="3"/>
  <c r="I81" i="3" a="1"/>
  <c r="I81" i="3" s="1"/>
  <c r="T79" i="3"/>
  <c r="U79" i="3"/>
  <c r="V79" i="3"/>
  <c r="AB83" i="3" l="1"/>
  <c r="X83" i="3" a="1"/>
  <c r="AC83" i="3"/>
  <c r="I79" i="3" a="1"/>
  <c r="I79" i="3" s="1"/>
  <c r="X83" i="3" l="1"/>
  <c r="Y83" i="3"/>
  <c r="Z83" i="3"/>
  <c r="I83" i="3" l="1" a="1"/>
  <c r="I83" i="3" s="1"/>
</calcChain>
</file>

<file path=xl/sharedStrings.xml><?xml version="1.0" encoding="utf-8"?>
<sst xmlns="http://schemas.openxmlformats.org/spreadsheetml/2006/main" count="122" uniqueCount="108">
  <si>
    <t>パターン１</t>
    <phoneticPr fontId="2"/>
  </si>
  <si>
    <t>パターン２</t>
    <phoneticPr fontId="2"/>
  </si>
  <si>
    <t>パターン３</t>
    <phoneticPr fontId="2"/>
  </si>
  <si>
    <t>パターン４</t>
    <phoneticPr fontId="2"/>
  </si>
  <si>
    <t>パターン５</t>
    <phoneticPr fontId="2"/>
  </si>
  <si>
    <t>→</t>
    <phoneticPr fontId="2"/>
  </si>
  <si>
    <t>オッズ</t>
    <phoneticPr fontId="2"/>
  </si>
  <si>
    <t>：</t>
  </si>
  <si>
    <t>：</t>
    <phoneticPr fontId="2"/>
  </si>
  <si>
    <t>期待値</t>
    <rPh sb="0" eb="3">
      <t>キタイチ</t>
    </rPh>
    <phoneticPr fontId="2"/>
  </si>
  <si>
    <t xml:space="preserve">     効用関数u(w)</t>
    <rPh sb="5" eb="7">
      <t>コウヨウ</t>
    </rPh>
    <rPh sb="7" eb="9">
      <t>カンスウ</t>
    </rPh>
    <phoneticPr fontId="2"/>
  </si>
  <si>
    <t xml:space="preserve">           u'(w)</t>
    <phoneticPr fontId="2"/>
  </si>
  <si>
    <t xml:space="preserve">           u"(w)</t>
    <phoneticPr fontId="2"/>
  </si>
  <si>
    <t>u'(100)の推定値</t>
    <rPh sb="8" eb="10">
      <t>スイテイ</t>
    </rPh>
    <rPh sb="10" eb="11">
      <t>アタイ</t>
    </rPh>
    <phoneticPr fontId="2"/>
  </si>
  <si>
    <t>u'(100)の推定値１</t>
    <rPh sb="8" eb="10">
      <t>スイテイ</t>
    </rPh>
    <rPh sb="10" eb="11">
      <t>アタイ</t>
    </rPh>
    <phoneticPr fontId="2"/>
  </si>
  <si>
    <t>u'(100)の推定値２</t>
    <rPh sb="8" eb="10">
      <t>スイテイ</t>
    </rPh>
    <rPh sb="10" eb="11">
      <t>アタイ</t>
    </rPh>
    <phoneticPr fontId="2"/>
  </si>
  <si>
    <t>u"(100)の推定値１</t>
    <rPh sb="8" eb="10">
      <t>スイテイ</t>
    </rPh>
    <rPh sb="10" eb="11">
      <t>アタイ</t>
    </rPh>
    <phoneticPr fontId="2"/>
  </si>
  <si>
    <t>u"(100)の推定値</t>
    <rPh sb="8" eb="10">
      <t>スイテイ</t>
    </rPh>
    <rPh sb="10" eb="11">
      <t>アタイ</t>
    </rPh>
    <phoneticPr fontId="2"/>
  </si>
  <si>
    <t>＝</t>
    <phoneticPr fontId="2"/>
  </si>
  <si>
    <t>投資可能銘柄</t>
  </si>
  <si>
    <t>年次リターンの平均値</t>
    <rPh sb="0" eb="1">
      <t>ネン</t>
    </rPh>
    <rPh sb="1" eb="2">
      <t>ゲツジ</t>
    </rPh>
    <rPh sb="7" eb="10">
      <t>ヘイキンチ</t>
    </rPh>
    <phoneticPr fontId="2"/>
  </si>
  <si>
    <t>年次リターンの相関係数</t>
    <rPh sb="0" eb="1">
      <t>ネン</t>
    </rPh>
    <rPh sb="1" eb="2">
      <t>ゲツジ</t>
    </rPh>
    <rPh sb="7" eb="11">
      <t>ソウカンケイスウ</t>
    </rPh>
    <phoneticPr fontId="2"/>
  </si>
  <si>
    <t>年次リターンの標準偏差</t>
    <rPh sb="0" eb="1">
      <t>ネン</t>
    </rPh>
    <rPh sb="1" eb="2">
      <t>ゲツジ</t>
    </rPh>
    <rPh sb="7" eb="11">
      <t>ヒョウジュンヘンサ</t>
    </rPh>
    <phoneticPr fontId="2"/>
  </si>
  <si>
    <t>向こう１年の期待リターン</t>
  </si>
  <si>
    <t>向こう１年のリターンの標準偏差</t>
  </si>
  <si>
    <t>上記リターンの相関係数</t>
  </si>
  <si>
    <t>向こう１年間の株式投資</t>
    <rPh sb="0" eb="1">
      <t>ム</t>
    </rPh>
    <rPh sb="4" eb="6">
      <t>ネンカン</t>
    </rPh>
    <rPh sb="7" eb="11">
      <t>カブシキトウシ</t>
    </rPh>
    <phoneticPr fontId="2"/>
  </si>
  <si>
    <t>リターンの共分散行列</t>
    <rPh sb="5" eb="10">
      <t>キョウブンサンギョウレツ</t>
    </rPh>
    <phoneticPr fontId="2"/>
  </si>
  <si>
    <t>投資可能銘柄</t>
    <rPh sb="0" eb="4">
      <t>トウシカノウ</t>
    </rPh>
    <rPh sb="4" eb="6">
      <t>メイガラ</t>
    </rPh>
    <phoneticPr fontId="2"/>
  </si>
  <si>
    <t>（ゼロ金利）</t>
    <rPh sb="3" eb="5">
      <t>キンリ</t>
    </rPh>
    <phoneticPr fontId="2"/>
  </si>
  <si>
    <t>（非負制約なし）</t>
    <rPh sb="1" eb="5">
      <t>ヒフセイヤク</t>
    </rPh>
    <phoneticPr fontId="2"/>
  </si>
  <si>
    <t>（非負制約あり）</t>
    <rPh sb="1" eb="5">
      <t>ヒフセイヤク</t>
    </rPh>
    <phoneticPr fontId="2"/>
  </si>
  <si>
    <t>ポートフォリオ（万円）</t>
    <rPh sb="8" eb="10">
      <t>マンエン</t>
    </rPh>
    <phoneticPr fontId="2"/>
  </si>
  <si>
    <t>１年後のキャッシュフローの期待値</t>
    <rPh sb="0" eb="3">
      <t>１ネンゴ</t>
    </rPh>
    <rPh sb="13" eb="15">
      <t>キタイ</t>
    </rPh>
    <rPh sb="15" eb="16">
      <t>チ</t>
    </rPh>
    <phoneticPr fontId="2"/>
  </si>
  <si>
    <t>１年後のキャッシュフローの分散</t>
    <rPh sb="0" eb="3">
      <t>１ネンゴ</t>
    </rPh>
    <rPh sb="13" eb="15">
      <t>ブンサン</t>
    </rPh>
    <phoneticPr fontId="2"/>
  </si>
  <si>
    <t>u"(100)の推定値３</t>
    <phoneticPr fontId="2"/>
  </si>
  <si>
    <t xml:space="preserve">   １年後の富の分散＝（リスク資産ポートフォリオの行ベクトル）（上記共分散行列）（同ポートフォリオの列ベクトル）</t>
    <rPh sb="4" eb="6">
      <t>ネンゴ</t>
    </rPh>
    <rPh sb="7" eb="8">
      <t>トミ</t>
    </rPh>
    <rPh sb="9" eb="11">
      <t>ブンサン</t>
    </rPh>
    <rPh sb="16" eb="18">
      <t>シサン</t>
    </rPh>
    <rPh sb="26" eb="27">
      <t>ギョウ</t>
    </rPh>
    <rPh sb="33" eb="35">
      <t>ジョウキ</t>
    </rPh>
    <rPh sb="35" eb="40">
      <t>キョウブンサンギョウレツ</t>
    </rPh>
    <rPh sb="42" eb="43">
      <t>ドウ</t>
    </rPh>
    <rPh sb="51" eb="52">
      <t>レツ</t>
    </rPh>
    <phoneticPr fontId="2"/>
  </si>
  <si>
    <t xml:space="preserve">   １年後の富の期待値＝（各資産の期待リターンの行ベクトル）（ポートフォリオの列ベクトル）</t>
    <rPh sb="4" eb="6">
      <t>ネンゴ</t>
    </rPh>
    <rPh sb="7" eb="8">
      <t>トミ</t>
    </rPh>
    <rPh sb="9" eb="12">
      <t>キタイチ</t>
    </rPh>
    <rPh sb="14" eb="15">
      <t>カク</t>
    </rPh>
    <rPh sb="15" eb="17">
      <t>シサン</t>
    </rPh>
    <rPh sb="18" eb="20">
      <t>キタイ</t>
    </rPh>
    <rPh sb="25" eb="26">
      <t>ギョウ</t>
    </rPh>
    <rPh sb="40" eb="41">
      <t>レツ</t>
    </rPh>
    <phoneticPr fontId="2"/>
  </si>
  <si>
    <t>ラグランジュ乗数</t>
    <rPh sb="6" eb="8">
      <t>ジョウスウ</t>
    </rPh>
    <phoneticPr fontId="2"/>
  </si>
  <si>
    <t>目標リターン</t>
    <rPh sb="0" eb="2">
      <t>モクヒョウ</t>
    </rPh>
    <phoneticPr fontId="2"/>
  </si>
  <si>
    <t>標準偏差（年額）</t>
    <rPh sb="0" eb="4">
      <t>ヒョウジュンヘンサ</t>
    </rPh>
    <rPh sb="5" eb="7">
      <t>ネンリツ</t>
    </rPh>
    <phoneticPr fontId="2"/>
  </si>
  <si>
    <t>期待リターン（年率）</t>
    <rPh sb="0" eb="2">
      <t>キタイ</t>
    </rPh>
    <rPh sb="7" eb="9">
      <t>ネンリツ</t>
    </rPh>
    <phoneticPr fontId="2"/>
  </si>
  <si>
    <t>株式のみのポートフォリオ</t>
    <rPh sb="0" eb="2">
      <t>カブシキ</t>
    </rPh>
    <phoneticPr fontId="2"/>
  </si>
  <si>
    <t>預金を含む</t>
    <rPh sb="0" eb="2">
      <t>ヨキン</t>
    </rPh>
    <rPh sb="3" eb="4">
      <t>フク</t>
    </rPh>
    <phoneticPr fontId="2"/>
  </si>
  <si>
    <t>全額投資</t>
    <rPh sb="0" eb="2">
      <t>ゼンガク</t>
    </rPh>
    <rPh sb="2" eb="4">
      <t>トウシ</t>
    </rPh>
    <phoneticPr fontId="2"/>
  </si>
  <si>
    <t>接点ポートフォリオ</t>
    <rPh sb="0" eb="2">
      <t>セッテン</t>
    </rPh>
    <phoneticPr fontId="2"/>
  </si>
  <si>
    <t>最適ポートフォリオ</t>
    <rPh sb="0" eb="2">
      <t>サイテキ</t>
    </rPh>
    <phoneticPr fontId="2"/>
  </si>
  <si>
    <t>最適ポートフォリオ（非負制約）</t>
  </si>
  <si>
    <t>無差別曲線</t>
    <rPh sb="0" eb="5">
      <t>ムサベツキョクセン</t>
    </rPh>
    <phoneticPr fontId="2"/>
  </si>
  <si>
    <t>預金を含まない</t>
    <rPh sb="0" eb="2">
      <t>ヨキン</t>
    </rPh>
    <rPh sb="3" eb="4">
      <t>フク</t>
    </rPh>
    <phoneticPr fontId="2"/>
  </si>
  <si>
    <t>u"(100)の推定値２</t>
    <phoneticPr fontId="2"/>
  </si>
  <si>
    <t>u"(100)の推定値４</t>
    <rPh sb="8" eb="10">
      <t>スイテイ</t>
    </rPh>
    <rPh sb="10" eb="11">
      <t>アタイ</t>
    </rPh>
    <phoneticPr fontId="2"/>
  </si>
  <si>
    <t>u"(100)の推定値５</t>
    <phoneticPr fontId="2"/>
  </si>
  <si>
    <t>投資対象（3つの株式）を選んで最適ポートフォリオを選択する。</t>
    <rPh sb="0" eb="4">
      <t>トウシタイショウ</t>
    </rPh>
    <rPh sb="8" eb="10">
      <t>カブシキ</t>
    </rPh>
    <rPh sb="12" eb="13">
      <t>エラ</t>
    </rPh>
    <rPh sb="15" eb="17">
      <t>サイテキ</t>
    </rPh>
    <rPh sb="25" eb="27">
      <t>センタク</t>
    </rPh>
    <phoneticPr fontId="2"/>
  </si>
  <si>
    <t>リスク回避度推定</t>
    <rPh sb="0" eb="6">
      <t>リスクカイヒド</t>
    </rPh>
    <rPh sb="6" eb="8">
      <t>スイテイ</t>
    </rPh>
    <phoneticPr fontId="2"/>
  </si>
  <si>
    <t>週次リターンの平均値</t>
    <rPh sb="0" eb="1">
      <t>シュウ</t>
    </rPh>
    <rPh sb="1" eb="2">
      <t>ツギ</t>
    </rPh>
    <rPh sb="7" eb="10">
      <t>ヘイキンチ</t>
    </rPh>
    <phoneticPr fontId="2"/>
  </si>
  <si>
    <t>週次リターンの標準偏差</t>
    <rPh sb="0" eb="1">
      <t>シュウ</t>
    </rPh>
    <rPh sb="1" eb="2">
      <t>ツギ</t>
    </rPh>
    <rPh sb="7" eb="11">
      <t>ヒョウジュンヘンサ</t>
    </rPh>
    <phoneticPr fontId="2"/>
  </si>
  <si>
    <t>週次リターンの相関係数</t>
    <rPh sb="0" eb="1">
      <t>シュウ</t>
    </rPh>
    <rPh sb="1" eb="2">
      <t>ツギ</t>
    </rPh>
    <rPh sb="7" eb="11">
      <t>ソウカンケイスウ</t>
    </rPh>
    <phoneticPr fontId="2"/>
  </si>
  <si>
    <t>JR東日本</t>
    <rPh sb="2" eb="3">
      <t>ヒガシ</t>
    </rPh>
    <rPh sb="3" eb="5">
      <t>ニホン</t>
    </rPh>
    <phoneticPr fontId="2"/>
  </si>
  <si>
    <t>川崎重工業</t>
    <rPh sb="0" eb="2">
      <t>カワサキ</t>
    </rPh>
    <rPh sb="2" eb="5">
      <t>ジュウコウギョウ</t>
    </rPh>
    <phoneticPr fontId="2"/>
  </si>
  <si>
    <t>コスモ石油</t>
    <rPh sb="3" eb="5">
      <t>セキユ</t>
    </rPh>
    <phoneticPr fontId="2"/>
  </si>
  <si>
    <t>○</t>
    <phoneticPr fontId="2"/>
  </si>
  <si>
    <t>×</t>
    <phoneticPr fontId="2"/>
  </si>
  <si>
    <t>最低必要なレベル</t>
    <rPh sb="0" eb="2">
      <t>サイテイ</t>
    </rPh>
    <rPh sb="2" eb="4">
      <t>ヒツヨウ</t>
    </rPh>
    <phoneticPr fontId="2"/>
  </si>
  <si>
    <t>（１～９の整数）</t>
    <rPh sb="5" eb="7">
      <t>セイスウ</t>
    </rPh>
    <phoneticPr fontId="2"/>
  </si>
  <si>
    <t>×</t>
    <phoneticPr fontId="2"/>
  </si>
  <si>
    <t>富（w）</t>
    <rPh sb="0" eb="1">
      <t>トミ</t>
    </rPh>
    <phoneticPr fontId="2"/>
  </si>
  <si>
    <t>■３銘柄のケース</t>
    <rPh sb="2" eb="4">
      <t>メイガラ</t>
    </rPh>
    <phoneticPr fontId="2"/>
  </si>
  <si>
    <t>期待効用</t>
    <rPh sb="0" eb="2">
      <t>キタイ</t>
    </rPh>
    <rPh sb="2" eb="4">
      <t>コウヨウ</t>
    </rPh>
    <phoneticPr fontId="2"/>
  </si>
  <si>
    <t>最適ポートフォリオ</t>
    <rPh sb="0" eb="2">
      <t>サイテキ</t>
    </rPh>
    <phoneticPr fontId="2"/>
  </si>
  <si>
    <t>＊　ソルバー実行必要　→　ソルバーを実施すると、ポートフォリオの中の銘柄の配分が自動決定されます。</t>
    <rPh sb="6" eb="8">
      <t>ジッコウ</t>
    </rPh>
    <rPh sb="8" eb="10">
      <t>ヒツヨウ</t>
    </rPh>
    <rPh sb="18" eb="20">
      <t>ジッシ</t>
    </rPh>
    <rPh sb="32" eb="33">
      <t>ナカ</t>
    </rPh>
    <rPh sb="34" eb="36">
      <t>メイガラ</t>
    </rPh>
    <rPh sb="37" eb="39">
      <t>ハイブン</t>
    </rPh>
    <rPh sb="40" eb="42">
      <t>ジドウ</t>
    </rPh>
    <rPh sb="42" eb="44">
      <t>ケッテイ</t>
    </rPh>
    <phoneticPr fontId="2"/>
  </si>
  <si>
    <t>Step ２</t>
    <phoneticPr fontId="2"/>
  </si>
  <si>
    <t>Step １</t>
    <phoneticPr fontId="2"/>
  </si>
  <si>
    <t>Step ３</t>
    <phoneticPr fontId="2"/>
  </si>
  <si>
    <t>預金</t>
    <rPh sb="0" eb="2">
      <t>ヨキン</t>
    </rPh>
    <phoneticPr fontId="2"/>
  </si>
  <si>
    <t>Step ４</t>
    <phoneticPr fontId="2"/>
  </si>
  <si>
    <t>Step ５</t>
    <phoneticPr fontId="2"/>
  </si>
  <si>
    <t>～　ポートフォリオの中の3銘柄、及び預金の配分比率を自動計算</t>
    <rPh sb="10" eb="11">
      <t>ナカ</t>
    </rPh>
    <rPh sb="13" eb="15">
      <t>メイガラ</t>
    </rPh>
    <rPh sb="16" eb="17">
      <t>オヨ</t>
    </rPh>
    <rPh sb="18" eb="20">
      <t>ヨキン</t>
    </rPh>
    <rPh sb="21" eb="23">
      <t>ハイブン</t>
    </rPh>
    <rPh sb="23" eb="25">
      <t>ヒリツ</t>
    </rPh>
    <rPh sb="26" eb="28">
      <t>ジドウ</t>
    </rPh>
    <rPh sb="28" eb="30">
      <t>ケイサン</t>
    </rPh>
    <phoneticPr fontId="2"/>
  </si>
  <si>
    <t>3銘柄を選び、Yahoo Finance 等のデータベースから、週次の時系列株価データを抽出します。</t>
    <rPh sb="1" eb="3">
      <t>メイガラ</t>
    </rPh>
    <rPh sb="4" eb="5">
      <t>エラ</t>
    </rPh>
    <rPh sb="21" eb="22">
      <t>ナド</t>
    </rPh>
    <rPh sb="32" eb="33">
      <t>シュウ</t>
    </rPh>
    <rPh sb="33" eb="34">
      <t>ツギ</t>
    </rPh>
    <rPh sb="35" eb="38">
      <t>ジケイレツ</t>
    </rPh>
    <rPh sb="38" eb="40">
      <t>カブカ</t>
    </rPh>
    <rPh sb="44" eb="46">
      <t>チュウシュツ</t>
    </rPh>
    <phoneticPr fontId="2"/>
  </si>
  <si>
    <t>銘柄集中リスクや分散効果について、イメージを持つためのツールです。</t>
    <rPh sb="0" eb="2">
      <t>メイガラ</t>
    </rPh>
    <rPh sb="2" eb="4">
      <t>シュウチュウ</t>
    </rPh>
    <rPh sb="8" eb="10">
      <t>ブンサン</t>
    </rPh>
    <rPh sb="10" eb="12">
      <t>コウカ</t>
    </rPh>
    <rPh sb="22" eb="23">
      <t>モ</t>
    </rPh>
    <phoneticPr fontId="2"/>
  </si>
  <si>
    <t>アセット・アロケーションがどのように成されるか、イメージを持ちましょう。</t>
    <rPh sb="18" eb="19">
      <t>ナ</t>
    </rPh>
    <rPh sb="29" eb="30">
      <t>モ</t>
    </rPh>
    <phoneticPr fontId="2"/>
  </si>
  <si>
    <t>どうかよろしくお願いいたします。</t>
    <rPh sb="8" eb="9">
      <t>ネガ</t>
    </rPh>
    <phoneticPr fontId="2"/>
  </si>
  <si>
    <t>　＊＊＊　注意事項　＊＊＊</t>
    <phoneticPr fontId="2"/>
  </si>
  <si>
    <t>一旦、エクセル・シートにデータを貼り付け、データを時間軸順に並べ直し、それぞれの銘柄の株価変化率の平均値と標準偏差の平均値、</t>
    <rPh sb="0" eb="2">
      <t>イッタン</t>
    </rPh>
    <rPh sb="16" eb="17">
      <t>ハ</t>
    </rPh>
    <rPh sb="18" eb="19">
      <t>ツ</t>
    </rPh>
    <rPh sb="25" eb="28">
      <t>ジカンジク</t>
    </rPh>
    <rPh sb="28" eb="29">
      <t>ジュン</t>
    </rPh>
    <rPh sb="30" eb="31">
      <t>ナラ</t>
    </rPh>
    <rPh sb="32" eb="33">
      <t>ナオ</t>
    </rPh>
    <rPh sb="40" eb="42">
      <t>メイガラ</t>
    </rPh>
    <rPh sb="43" eb="45">
      <t>カブカ</t>
    </rPh>
    <rPh sb="45" eb="47">
      <t>ヘンカ</t>
    </rPh>
    <rPh sb="47" eb="48">
      <t>リツ</t>
    </rPh>
    <rPh sb="49" eb="51">
      <t>ヘイキン</t>
    </rPh>
    <rPh sb="51" eb="52">
      <t>アタイ</t>
    </rPh>
    <rPh sb="53" eb="55">
      <t>ヒョウジュン</t>
    </rPh>
    <rPh sb="55" eb="57">
      <t>ヘンサ</t>
    </rPh>
    <rPh sb="58" eb="61">
      <t>ヘイキンチ</t>
    </rPh>
    <phoneticPr fontId="2"/>
  </si>
  <si>
    <t>及び相関係数を算出します。</t>
  </si>
  <si>
    <t>（ソルバーは、エクセル-オプション の アドイン で追加登録しておけば、使用可となります。）</t>
    <phoneticPr fontId="2"/>
  </si>
  <si>
    <r>
      <t>π</t>
    </r>
    <r>
      <rPr>
        <b/>
        <vertAlign val="superscript"/>
        <sz val="12"/>
        <color rgb="FF0070C0"/>
        <rFont val="ＭＳ Ｐ明朝"/>
        <family val="1"/>
        <charset val="128"/>
      </rPr>
      <t>*</t>
    </r>
    <r>
      <rPr>
        <b/>
        <sz val="12"/>
        <color rgb="FF0070C0"/>
        <rFont val="ＭＳ Ｐ明朝"/>
        <family val="1"/>
        <charset val="128"/>
      </rPr>
      <t>＝（1/リスク回避度）（期待リターンの行ベクトル）（上記共分散行列の逆行列）</t>
    </r>
    <rPh sb="0" eb="1">
      <t>サイテキ</t>
    </rPh>
    <rPh sb="6" eb="12">
      <t>リスクカイヒド</t>
    </rPh>
    <rPh sb="14" eb="16">
      <t>キタイ</t>
    </rPh>
    <rPh sb="21" eb="22">
      <t>ギョウ</t>
    </rPh>
    <phoneticPr fontId="2"/>
  </si>
  <si>
    <t>（　ソルバーには、既に条件式が組み込まれています。　）</t>
    <rPh sb="9" eb="10">
      <t>スデ</t>
    </rPh>
    <rPh sb="11" eb="13">
      <t>ジョウケン</t>
    </rPh>
    <rPh sb="13" eb="14">
      <t>シキ</t>
    </rPh>
    <rPh sb="15" eb="16">
      <t>ク</t>
    </rPh>
    <rPh sb="17" eb="18">
      <t>コ</t>
    </rPh>
    <phoneticPr fontId="2"/>
  </si>
  <si>
    <t>リスク回避度</t>
    <rPh sb="0" eb="6">
      <t>リスクカイヒド</t>
    </rPh>
    <phoneticPr fontId="2"/>
  </si>
  <si>
    <t>E(u(w))≒１年後の富の期待値－(1/2)*（リスク回避度）*（１年後の富の分散）</t>
    <rPh sb="9" eb="11">
      <t>ネンゴ</t>
    </rPh>
    <rPh sb="12" eb="13">
      <t>トミ</t>
    </rPh>
    <rPh sb="14" eb="17">
      <t>キタイチ</t>
    </rPh>
    <rPh sb="25" eb="31">
      <t>リスクカイヒド</t>
    </rPh>
    <rPh sb="35" eb="37">
      <t>ネンゴ</t>
    </rPh>
    <rPh sb="38" eb="39">
      <t>トミ</t>
    </rPh>
    <rPh sb="40" eb="42">
      <t>ブンサン</t>
    </rPh>
    <phoneticPr fontId="2"/>
  </si>
  <si>
    <r>
      <t>それらの値を、下にある表の</t>
    </r>
    <r>
      <rPr>
        <b/>
        <u val="double"/>
        <sz val="16"/>
        <color rgb="FF00B050"/>
        <rFont val="ＭＳ Ｐ明朝"/>
        <family val="1"/>
        <charset val="128"/>
      </rPr>
      <t>緑の部分</t>
    </r>
    <r>
      <rPr>
        <b/>
        <sz val="16"/>
        <color rgb="FF7030A0"/>
        <rFont val="ＭＳ Ｐ明朝"/>
        <family val="1"/>
        <charset val="128"/>
      </rPr>
      <t>に入力します。</t>
    </r>
    <rPh sb="4" eb="5">
      <t>アタイ</t>
    </rPh>
    <rPh sb="7" eb="8">
      <t>シタ</t>
    </rPh>
    <rPh sb="11" eb="12">
      <t>ヒョウ</t>
    </rPh>
    <rPh sb="13" eb="14">
      <t>ミドリ</t>
    </rPh>
    <rPh sb="15" eb="17">
      <t>ブブン</t>
    </rPh>
    <rPh sb="18" eb="20">
      <t>ニュウリョク</t>
    </rPh>
    <phoneticPr fontId="2"/>
  </si>
  <si>
    <r>
      <rPr>
        <b/>
        <u val="double"/>
        <sz val="16"/>
        <color rgb="FFFF0000"/>
        <rFont val="ＭＳ Ｐ明朝"/>
        <family val="1"/>
        <charset val="128"/>
      </rPr>
      <t>赤字部分のあたり</t>
    </r>
    <r>
      <rPr>
        <b/>
        <sz val="16"/>
        <color rgb="FF7030A0"/>
        <rFont val="ＭＳ Ｐ明朝"/>
        <family val="1"/>
        <charset val="128"/>
      </rPr>
      <t>で、エクセル・ツールのソルバーを実施します。　</t>
    </r>
    <rPh sb="0" eb="2">
      <t>アカジ</t>
    </rPh>
    <rPh sb="2" eb="4">
      <t>ブブン</t>
    </rPh>
    <rPh sb="24" eb="26">
      <t>ジッシ</t>
    </rPh>
    <phoneticPr fontId="2"/>
  </si>
  <si>
    <t>○　非負制約（借入や空売りの禁止条件）がない場合、最適ポートフォリオπ*は次式で計算できます。</t>
    <rPh sb="26" eb="27">
      <t>サイテキ</t>
    </rPh>
    <phoneticPr fontId="2"/>
  </si>
  <si>
    <t>○　非負制約（借入禁止、空売り禁止）がある時の最適ポートフォリオを求めます。</t>
    <rPh sb="2" eb="6">
      <t>ヒフセイヤク</t>
    </rPh>
    <rPh sb="7" eb="9">
      <t>カリイ</t>
    </rPh>
    <rPh sb="9" eb="11">
      <t>キンシ</t>
    </rPh>
    <rPh sb="12" eb="14">
      <t>カラウ</t>
    </rPh>
    <rPh sb="15" eb="17">
      <t>キンシ</t>
    </rPh>
    <rPh sb="21" eb="22">
      <t>トキ</t>
    </rPh>
    <rPh sb="23" eb="25">
      <t>サイテキ</t>
    </rPh>
    <rPh sb="33" eb="34">
      <t>モト</t>
    </rPh>
    <phoneticPr fontId="2"/>
  </si>
  <si>
    <t>ポートフォリオの中の3銘柄、及び預金の配分比率が自動計算されます。　　一番下にあるグラフを見てみましょう。</t>
    <rPh sb="8" eb="9">
      <t>ナカ</t>
    </rPh>
    <rPh sb="11" eb="13">
      <t>メイガラ</t>
    </rPh>
    <rPh sb="14" eb="15">
      <t>オヨ</t>
    </rPh>
    <rPh sb="16" eb="18">
      <t>ヨキン</t>
    </rPh>
    <rPh sb="19" eb="21">
      <t>ハイブン</t>
    </rPh>
    <rPh sb="21" eb="23">
      <t>ヒリツ</t>
    </rPh>
    <rPh sb="24" eb="26">
      <t>ジドウ</t>
    </rPh>
    <rPh sb="26" eb="28">
      <t>ケイサン</t>
    </rPh>
    <rPh sb="35" eb="37">
      <t>イチバン</t>
    </rPh>
    <rPh sb="37" eb="38">
      <t>シタ</t>
    </rPh>
    <rPh sb="45" eb="46">
      <t>ミ</t>
    </rPh>
    <phoneticPr fontId="2"/>
  </si>
  <si>
    <t>あくまで、個人の手元資料です。 　</t>
    <phoneticPr fontId="2"/>
  </si>
  <si>
    <t>なお、Excel に 「ソルバー」機能が入っていなければ使えません。　「ソルバー」をアドインするためには次の作業を行います。</t>
  </si>
  <si>
    <r>
      <t>①</t>
    </r>
    <r>
      <rPr>
        <b/>
        <sz val="7"/>
        <color rgb="FF00B050"/>
        <rFont val="Times New Roman"/>
        <family val="1"/>
      </rPr>
      <t xml:space="preserve">   </t>
    </r>
    <r>
      <rPr>
        <b/>
        <sz val="11"/>
        <color rgb="FF00B050"/>
        <rFont val="ＭＳ Ｐ明朝"/>
        <family val="1"/>
        <charset val="128"/>
      </rPr>
      <t>Excel上部の　「ファイル」項目を　クリック　します。</t>
    </r>
  </si>
  <si>
    <r>
      <t>②</t>
    </r>
    <r>
      <rPr>
        <b/>
        <sz val="11"/>
        <color rgb="FF00B050"/>
        <rFont val="Times New Roman"/>
        <family val="1"/>
      </rPr>
      <t>  </t>
    </r>
    <r>
      <rPr>
        <b/>
        <sz val="7"/>
        <color rgb="FF00B050"/>
        <rFont val="Times New Roman"/>
        <family val="1"/>
      </rPr>
      <t xml:space="preserve"> </t>
    </r>
    <r>
      <rPr>
        <b/>
        <sz val="11"/>
        <color rgb="FF00B050"/>
        <rFont val="ＭＳ Ｐ明朝"/>
        <family val="1"/>
        <charset val="128"/>
      </rPr>
      <t>左側の列の下から2番目の　「オプション」　をクリックします。</t>
    </r>
    <phoneticPr fontId="2"/>
  </si>
  <si>
    <r>
      <t>③</t>
    </r>
    <r>
      <rPr>
        <b/>
        <sz val="7"/>
        <color rgb="FF00B050"/>
        <rFont val="Times New Roman"/>
        <family val="1"/>
      </rPr>
      <t xml:space="preserve">   </t>
    </r>
    <r>
      <rPr>
        <b/>
        <sz val="11"/>
        <color rgb="FF00B050"/>
        <rFont val="ＭＳ Ｐ明朝"/>
        <family val="1"/>
        <charset val="128"/>
      </rPr>
      <t>すると、「Excelのオプション」　の画面が開くので、「アドイン」　をクリックします。</t>
    </r>
    <phoneticPr fontId="2"/>
  </si>
  <si>
    <t>④　「ソルバーアドイン」　をクリックし、続けて　画面下にある　「設定」　をクリックします。</t>
    <phoneticPr fontId="2"/>
  </si>
  <si>
    <r>
      <t>⑤</t>
    </r>
    <r>
      <rPr>
        <b/>
        <sz val="11"/>
        <color rgb="FF00B050"/>
        <rFont val="Times New Roman"/>
        <family val="1"/>
      </rPr>
      <t> </t>
    </r>
    <r>
      <rPr>
        <b/>
        <sz val="7"/>
        <color rgb="FF00B050"/>
        <rFont val="Times New Roman"/>
        <family val="1"/>
      </rPr>
      <t xml:space="preserve">  </t>
    </r>
    <r>
      <rPr>
        <b/>
        <sz val="11"/>
        <color rgb="FF00B050"/>
        <rFont val="ＭＳ Ｐ明朝"/>
        <family val="1"/>
        <charset val="128"/>
      </rPr>
      <t>「有効なアドイン」が出てくるので、一番上にある　「ソルバーアドイン」　を　OK とします。</t>
    </r>
    <phoneticPr fontId="2"/>
  </si>
  <si>
    <t>＊　Excel で　「ソルバー」　機能を使えるようにするためには　＊</t>
    <rPh sb="17" eb="19">
      <t>キノウ</t>
    </rPh>
    <rPh sb="20" eb="21">
      <t>ツカ</t>
    </rPh>
    <phoneticPr fontId="2"/>
  </si>
  <si>
    <t>＃＃＃</t>
    <phoneticPr fontId="2"/>
  </si>
  <si>
    <t>「ソルバー」　実行にあたっては、Excel の上にある項目　「データ」　をクリックし、右側部分にある　「分析」　の項目内の　「ソルバー」　をクリック、「解決」 ボタンを押します。</t>
    <rPh sb="7" eb="9">
      <t>ジッコウ</t>
    </rPh>
    <rPh sb="23" eb="24">
      <t>ウエ</t>
    </rPh>
    <rPh sb="27" eb="29">
      <t>コウモク</t>
    </rPh>
    <rPh sb="43" eb="45">
      <t>ミギガワ</t>
    </rPh>
    <rPh sb="45" eb="47">
      <t>ブブン</t>
    </rPh>
    <rPh sb="52" eb="54">
      <t>ブンセキ</t>
    </rPh>
    <rPh sb="57" eb="59">
      <t>コウモク</t>
    </rPh>
    <rPh sb="59" eb="60">
      <t>ナイ</t>
    </rPh>
    <rPh sb="76" eb="78">
      <t>カイケツ</t>
    </rPh>
    <rPh sb="84" eb="85">
      <t>オ</t>
    </rPh>
    <phoneticPr fontId="2"/>
  </si>
  <si>
    <t>あくまで当該学習ツールは、個人としての参考資料アップですので、考え違いなきようにお願いします。</t>
    <rPh sb="6" eb="8">
      <t>ガクシュウ</t>
    </rPh>
    <phoneticPr fontId="2"/>
  </si>
  <si>
    <t>証券投資理論（ポートフォリオ理論）学習ツール　</t>
    <rPh sb="0" eb="2">
      <t>ショウケン</t>
    </rPh>
    <rPh sb="2" eb="4">
      <t>トウシ</t>
    </rPh>
    <rPh sb="4" eb="6">
      <t>リロン</t>
    </rPh>
    <rPh sb="14" eb="16">
      <t>リロン</t>
    </rPh>
    <rPh sb="17" eb="19">
      <t>ガクシュウ</t>
    </rPh>
    <phoneticPr fontId="2"/>
  </si>
  <si>
    <t>2015年12月7日作成資料です。</t>
    <rPh sb="4" eb="5">
      <t>ネン</t>
    </rPh>
    <rPh sb="7" eb="8">
      <t>ガツ</t>
    </rPh>
    <rPh sb="9" eb="10">
      <t>ニチ</t>
    </rPh>
    <rPh sb="10" eb="12">
      <t>サクセイ</t>
    </rPh>
    <rPh sb="12" eb="14">
      <t>シリョウ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</si>
</sst>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0%"/>
    <numFmt numFmtId="177" formatCode="#,##0.000;[Red]\-#,##0.000"/>
    <numFmt numFmtId="178" formatCode="#,##0.0000;[Red]\-#,##0.0000"/>
    <numFmt numFmtId="179" formatCode="#,##0.00000_ ;[Red]\-#,##0.00000\ "/>
  </numFmts>
  <fonts count="5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  <font>
      <sz val="11"/>
      <color rgb="FF7030A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1"/>
      <color rgb="FF7030A0"/>
      <name val="ＭＳ Ｐゴシック"/>
      <family val="3"/>
      <charset val="128"/>
    </font>
    <font>
      <sz val="11"/>
      <color rgb="FF0070C0"/>
      <name val="ＭＳ Ｐ明朝"/>
      <family val="1"/>
      <charset val="128"/>
    </font>
    <font>
      <sz val="12"/>
      <color rgb="FF0070C0"/>
      <name val="ＭＳ Ｐ明朝"/>
      <family val="1"/>
      <charset val="128"/>
    </font>
    <font>
      <sz val="12"/>
      <color rgb="FFC00000"/>
      <name val="ＭＳ Ｐ明朝"/>
      <family val="1"/>
      <charset val="128"/>
    </font>
    <font>
      <b/>
      <sz val="12"/>
      <color rgb="FF0070C0"/>
      <name val="ＭＳ Ｐ明朝"/>
      <family val="1"/>
      <charset val="128"/>
    </font>
    <font>
      <b/>
      <sz val="12"/>
      <color rgb="FFC00000"/>
      <name val="ＭＳ Ｐ明朝"/>
      <family val="1"/>
      <charset val="128"/>
    </font>
    <font>
      <b/>
      <sz val="14"/>
      <color rgb="FFC00000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color rgb="FF0070C0"/>
      <name val="ＭＳ Ｐ明朝"/>
      <family val="1"/>
      <charset val="128"/>
    </font>
    <font>
      <sz val="9"/>
      <name val="ＭＳ Ｐ明朝"/>
      <family val="1"/>
      <charset val="128"/>
    </font>
    <font>
      <b/>
      <sz val="11"/>
      <color indexed="10"/>
      <name val="ＭＳ Ｐ明朝"/>
      <family val="1"/>
      <charset val="128"/>
    </font>
    <font>
      <sz val="11"/>
      <color rgb="FF7030A0"/>
      <name val="ＭＳ Ｐ明朝"/>
      <family val="1"/>
      <charset val="128"/>
    </font>
    <font>
      <sz val="11"/>
      <color indexed="9"/>
      <name val="ＭＳ Ｐ明朝"/>
      <family val="1"/>
      <charset val="128"/>
    </font>
    <font>
      <b/>
      <sz val="14"/>
      <color rgb="FFFF0000"/>
      <name val="ＭＳ Ｐ明朝"/>
      <family val="1"/>
      <charset val="128"/>
    </font>
    <font>
      <b/>
      <sz val="11"/>
      <color rgb="FF7030A0"/>
      <name val="ＭＳ Ｐ明朝"/>
      <family val="1"/>
      <charset val="128"/>
    </font>
    <font>
      <b/>
      <sz val="11"/>
      <name val="ＭＳ Ｐ明朝"/>
      <family val="1"/>
      <charset val="128"/>
    </font>
    <font>
      <sz val="8"/>
      <name val="ＭＳ Ｐ明朝"/>
      <family val="1"/>
      <charset val="128"/>
    </font>
    <font>
      <b/>
      <vertAlign val="superscript"/>
      <sz val="12"/>
      <color rgb="FF0070C0"/>
      <name val="ＭＳ Ｐ明朝"/>
      <family val="1"/>
      <charset val="128"/>
    </font>
    <font>
      <sz val="24"/>
      <color rgb="FF0070C0"/>
      <name val="ＭＳ Ｐ明朝"/>
      <family val="1"/>
      <charset val="128"/>
    </font>
    <font>
      <b/>
      <sz val="16"/>
      <color rgb="FF0070C0"/>
      <name val="ＭＳ Ｐ明朝"/>
      <family val="1"/>
      <charset val="128"/>
    </font>
    <font>
      <b/>
      <sz val="26"/>
      <color rgb="FF7030A0"/>
      <name val="ＭＳ Ｐ明朝"/>
      <family val="1"/>
      <charset val="128"/>
    </font>
    <font>
      <b/>
      <u val="double"/>
      <sz val="18"/>
      <color rgb="FFC00000"/>
      <name val="ＭＳ Ｐ明朝"/>
      <family val="1"/>
      <charset val="128"/>
    </font>
    <font>
      <b/>
      <sz val="18"/>
      <color rgb="FF0070C0"/>
      <name val="ＭＳ Ｐ明朝"/>
      <family val="1"/>
      <charset val="128"/>
    </font>
    <font>
      <b/>
      <sz val="16"/>
      <color rgb="FF7030A0"/>
      <name val="ＭＳ Ｐ明朝"/>
      <family val="1"/>
      <charset val="128"/>
    </font>
    <font>
      <sz val="16"/>
      <name val="ＭＳ Ｐ明朝"/>
      <family val="1"/>
      <charset val="128"/>
    </font>
    <font>
      <b/>
      <sz val="18"/>
      <color rgb="FF7030A0"/>
      <name val="ＭＳ Ｐ明朝"/>
      <family val="1"/>
      <charset val="128"/>
    </font>
    <font>
      <b/>
      <u val="double"/>
      <sz val="16"/>
      <color rgb="FF00B050"/>
      <name val="ＭＳ Ｐ明朝"/>
      <family val="1"/>
      <charset val="128"/>
    </font>
    <font>
      <b/>
      <u val="double"/>
      <sz val="16"/>
      <color rgb="FFFF0000"/>
      <name val="ＭＳ Ｐ明朝"/>
      <family val="1"/>
      <charset val="128"/>
    </font>
    <font>
      <b/>
      <sz val="16"/>
      <color rgb="FFFF00FF"/>
      <name val="ＭＳ Ｐ明朝"/>
      <family val="1"/>
      <charset val="128"/>
    </font>
    <font>
      <b/>
      <sz val="18"/>
      <color rgb="FFC00000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u/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1"/>
      <color rgb="FFC00000"/>
      <name val="ＭＳ Ｐ明朝"/>
      <family val="1"/>
      <charset val="128"/>
    </font>
    <font>
      <b/>
      <sz val="11"/>
      <color rgb="FFC00000"/>
      <name val="ＭＳ Ｐゴシック"/>
      <family val="3"/>
      <charset val="128"/>
    </font>
    <font>
      <b/>
      <sz val="11"/>
      <color rgb="FF00B050"/>
      <name val="ＭＳ Ｐ明朝"/>
      <family val="1"/>
      <charset val="128"/>
    </font>
    <font>
      <b/>
      <sz val="7"/>
      <color rgb="FF00B050"/>
      <name val="Times New Roman"/>
      <family val="1"/>
    </font>
    <font>
      <b/>
      <sz val="11"/>
      <color rgb="FF00B050"/>
      <name val="Times New Roman"/>
      <family val="1"/>
    </font>
    <font>
      <b/>
      <sz val="11"/>
      <color rgb="FFFF0000"/>
      <name val="ＭＳ Ｐ明朝"/>
      <family val="1"/>
      <charset val="128"/>
    </font>
    <font>
      <b/>
      <sz val="16"/>
      <color rgb="FFC00000"/>
      <name val="ＭＳ Ｐ明朝"/>
      <family val="1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6337778862885"/>
        <bgColor indexed="64"/>
      </patternFill>
    </fill>
  </fills>
  <borders count="7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12"/>
      </bottom>
      <diagonal/>
    </border>
    <border>
      <left style="medium">
        <color indexed="12"/>
      </left>
      <right style="medium">
        <color indexed="64"/>
      </right>
      <top style="medium">
        <color indexed="12"/>
      </top>
      <bottom style="thin">
        <color indexed="64"/>
      </bottom>
      <diagonal/>
    </border>
    <border>
      <left style="medium">
        <color indexed="12"/>
      </left>
      <right style="medium">
        <color indexed="64"/>
      </right>
      <top style="thin">
        <color indexed="64"/>
      </top>
      <bottom style="medium">
        <color indexed="12"/>
      </bottom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242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34" xfId="0" applyBorder="1" applyAlignment="1">
      <alignment horizontal="center" vertical="center"/>
    </xf>
    <xf numFmtId="0" fontId="0" fillId="0" borderId="7" xfId="0" applyBorder="1" applyAlignment="1">
      <alignment horizontal="right" vertical="center"/>
    </xf>
    <xf numFmtId="177" fontId="0" fillId="0" borderId="35" xfId="2" applyNumberFormat="1" applyFont="1" applyBorder="1" applyAlignment="1">
      <alignment vertical="center"/>
    </xf>
    <xf numFmtId="0" fontId="0" fillId="0" borderId="10" xfId="0" applyBorder="1" applyAlignment="1">
      <alignment horizontal="right" vertical="center"/>
    </xf>
    <xf numFmtId="177" fontId="0" fillId="0" borderId="28" xfId="2" applyNumberFormat="1" applyFont="1" applyBorder="1" applyAlignment="1">
      <alignment vertical="center"/>
    </xf>
    <xf numFmtId="0" fontId="0" fillId="0" borderId="13" xfId="0" applyBorder="1" applyAlignment="1">
      <alignment horizontal="right" vertical="center"/>
    </xf>
    <xf numFmtId="177" fontId="0" fillId="0" borderId="29" xfId="2" applyNumberFormat="1" applyFont="1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8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178" fontId="0" fillId="0" borderId="28" xfId="2" applyNumberFormat="1" applyFont="1" applyBorder="1" applyAlignment="1">
      <alignment vertical="center"/>
    </xf>
    <xf numFmtId="178" fontId="0" fillId="0" borderId="29" xfId="2" applyNumberFormat="1" applyFont="1" applyBorder="1" applyAlignment="1">
      <alignment vertical="center"/>
    </xf>
    <xf numFmtId="0" fontId="0" fillId="0" borderId="21" xfId="0" applyBorder="1" applyAlignment="1">
      <alignment horizontal="right" vertical="center"/>
    </xf>
    <xf numFmtId="178" fontId="0" fillId="0" borderId="22" xfId="2" applyNumberFormat="1" applyFont="1" applyBorder="1" applyAlignment="1">
      <alignment vertical="center"/>
    </xf>
    <xf numFmtId="0" fontId="0" fillId="0" borderId="1" xfId="0" applyBorder="1" applyAlignment="1">
      <alignment horizontal="right" vertical="center"/>
    </xf>
    <xf numFmtId="178" fontId="0" fillId="0" borderId="24" xfId="2" applyNumberFormat="1" applyFont="1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40" xfId="0" applyBorder="1" applyAlignment="1">
      <alignment horizontal="center" vertical="center"/>
    </xf>
    <xf numFmtId="0" fontId="0" fillId="0" borderId="18" xfId="0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42" xfId="0" applyBorder="1" applyAlignment="1">
      <alignment vertical="center"/>
    </xf>
    <xf numFmtId="178" fontId="0" fillId="0" borderId="5" xfId="2" applyNumberFormat="1" applyFont="1" applyBorder="1" applyAlignment="1">
      <alignment vertical="center"/>
    </xf>
    <xf numFmtId="178" fontId="0" fillId="0" borderId="36" xfId="2" applyNumberFormat="1" applyFont="1" applyBorder="1" applyAlignment="1">
      <alignment horizontal="center" vertical="center"/>
    </xf>
    <xf numFmtId="178" fontId="0" fillId="0" borderId="35" xfId="2" applyNumberFormat="1" applyFont="1" applyBorder="1" applyAlignment="1">
      <alignment vertical="center"/>
    </xf>
    <xf numFmtId="178" fontId="0" fillId="0" borderId="37" xfId="2" applyNumberFormat="1" applyFont="1" applyBorder="1" applyAlignment="1">
      <alignment vertical="center"/>
    </xf>
    <xf numFmtId="178" fontId="0" fillId="0" borderId="38" xfId="2" applyNumberFormat="1" applyFont="1" applyBorder="1" applyAlignment="1">
      <alignment horizontal="center" vertical="center"/>
    </xf>
    <xf numFmtId="178" fontId="0" fillId="0" borderId="43" xfId="2" applyNumberFormat="1" applyFont="1" applyBorder="1" applyAlignment="1">
      <alignment vertical="center"/>
    </xf>
    <xf numFmtId="178" fontId="0" fillId="0" borderId="39" xfId="2" applyNumberFormat="1" applyFont="1" applyBorder="1" applyAlignment="1">
      <alignment vertical="center"/>
    </xf>
    <xf numFmtId="178" fontId="0" fillId="0" borderId="40" xfId="2" applyNumberFormat="1" applyFont="1" applyBorder="1" applyAlignment="1">
      <alignment horizontal="center" vertical="center"/>
    </xf>
    <xf numFmtId="178" fontId="0" fillId="0" borderId="33" xfId="2" applyNumberFormat="1" applyFont="1" applyBorder="1" applyAlignment="1">
      <alignment vertical="center"/>
    </xf>
    <xf numFmtId="178" fontId="0" fillId="0" borderId="0" xfId="2" applyNumberFormat="1" applyFont="1" applyAlignment="1">
      <alignment vertical="center"/>
    </xf>
    <xf numFmtId="0" fontId="0" fillId="0" borderId="40" xfId="0" applyBorder="1" applyAlignment="1">
      <alignment vertical="center"/>
    </xf>
    <xf numFmtId="178" fontId="0" fillId="3" borderId="42" xfId="2" applyNumberFormat="1" applyFont="1" applyFill="1" applyBorder="1" applyAlignment="1">
      <alignment horizontal="center" vertical="center"/>
    </xf>
    <xf numFmtId="179" fontId="0" fillId="0" borderId="0" xfId="0" applyNumberFormat="1" applyAlignment="1">
      <alignment vertical="center"/>
    </xf>
    <xf numFmtId="40" fontId="0" fillId="0" borderId="0" xfId="2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75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70" xfId="0" applyFont="1" applyBorder="1" applyAlignment="1">
      <alignment horizontal="center" vertical="center"/>
    </xf>
    <xf numFmtId="40" fontId="9" fillId="0" borderId="0" xfId="2" applyNumberFormat="1" applyFont="1" applyAlignment="1">
      <alignment vertical="center"/>
    </xf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7" fillId="0" borderId="78" xfId="0" applyFont="1" applyBorder="1" applyAlignment="1">
      <alignment vertical="center"/>
    </xf>
    <xf numFmtId="0" fontId="18" fillId="0" borderId="5" xfId="0" applyFont="1" applyBorder="1" applyAlignment="1">
      <alignment horizontal="center" vertical="center"/>
    </xf>
    <xf numFmtId="0" fontId="18" fillId="0" borderId="36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7" fillId="0" borderId="45" xfId="0" applyFont="1" applyBorder="1" applyAlignment="1">
      <alignment vertical="center"/>
    </xf>
    <xf numFmtId="0" fontId="17" fillId="0" borderId="46" xfId="0" applyFont="1" applyBorder="1" applyAlignment="1">
      <alignment vertical="center"/>
    </xf>
    <xf numFmtId="0" fontId="19" fillId="8" borderId="60" xfId="0" applyFont="1" applyFill="1" applyBorder="1" applyAlignment="1">
      <alignment horizontal="center" vertical="center"/>
    </xf>
    <xf numFmtId="0" fontId="19" fillId="8" borderId="61" xfId="0" applyFont="1" applyFill="1" applyBorder="1" applyAlignment="1">
      <alignment horizontal="center" vertical="center"/>
    </xf>
    <xf numFmtId="0" fontId="19" fillId="8" borderId="62" xfId="0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/>
    </xf>
    <xf numFmtId="0" fontId="11" fillId="0" borderId="36" xfId="0" applyFont="1" applyBorder="1" applyAlignment="1">
      <alignment vertical="center"/>
    </xf>
    <xf numFmtId="0" fontId="17" fillId="0" borderId="35" xfId="0" applyFont="1" applyBorder="1" applyAlignment="1">
      <alignment vertical="center"/>
    </xf>
    <xf numFmtId="10" fontId="17" fillId="7" borderId="6" xfId="1" applyNumberFormat="1" applyFont="1" applyFill="1" applyBorder="1" applyAlignment="1">
      <alignment vertical="center"/>
    </xf>
    <xf numFmtId="10" fontId="17" fillId="7" borderId="53" xfId="1" applyNumberFormat="1" applyFont="1" applyFill="1" applyBorder="1" applyAlignment="1">
      <alignment vertical="center"/>
    </xf>
    <xf numFmtId="10" fontId="17" fillId="7" borderId="54" xfId="1" applyNumberFormat="1" applyFont="1" applyFill="1" applyBorder="1" applyAlignment="1">
      <alignment vertical="center"/>
    </xf>
    <xf numFmtId="0" fontId="18" fillId="0" borderId="8" xfId="0" applyFont="1" applyBorder="1" applyAlignment="1">
      <alignment vertical="center"/>
    </xf>
    <xf numFmtId="0" fontId="11" fillId="0" borderId="26" xfId="0" applyFont="1" applyBorder="1" applyAlignment="1">
      <alignment vertical="center"/>
    </xf>
    <xf numFmtId="0" fontId="17" fillId="0" borderId="28" xfId="0" applyFont="1" applyBorder="1" applyAlignment="1">
      <alignment vertical="center"/>
    </xf>
    <xf numFmtId="10" fontId="17" fillId="7" borderId="9" xfId="1" applyNumberFormat="1" applyFont="1" applyFill="1" applyBorder="1" applyAlignment="1">
      <alignment vertical="center"/>
    </xf>
    <xf numFmtId="10" fontId="17" fillId="7" borderId="55" xfId="1" applyNumberFormat="1" applyFont="1" applyFill="1" applyBorder="1" applyAlignment="1">
      <alignment vertical="center"/>
    </xf>
    <xf numFmtId="10" fontId="17" fillId="7" borderId="56" xfId="1" applyNumberFormat="1" applyFont="1" applyFill="1" applyBorder="1" applyAlignment="1">
      <alignment vertical="center"/>
    </xf>
    <xf numFmtId="0" fontId="18" fillId="0" borderId="37" xfId="0" applyFont="1" applyBorder="1" applyAlignment="1">
      <alignment vertical="center"/>
    </xf>
    <xf numFmtId="0" fontId="11" fillId="0" borderId="38" xfId="0" applyFont="1" applyBorder="1" applyAlignment="1">
      <alignment vertical="center"/>
    </xf>
    <xf numFmtId="0" fontId="19" fillId="8" borderId="63" xfId="0" applyFont="1" applyFill="1" applyBorder="1" applyAlignment="1">
      <alignment horizontal="center" vertical="center"/>
    </xf>
    <xf numFmtId="40" fontId="17" fillId="0" borderId="47" xfId="2" applyNumberFormat="1" applyFont="1" applyBorder="1" applyAlignment="1">
      <alignment vertical="center"/>
    </xf>
    <xf numFmtId="40" fontId="17" fillId="7" borderId="57" xfId="2" applyNumberFormat="1" applyFont="1" applyFill="1" applyBorder="1" applyAlignment="1">
      <alignment vertical="center"/>
    </xf>
    <xf numFmtId="40" fontId="17" fillId="7" borderId="58" xfId="2" applyNumberFormat="1" applyFont="1" applyFill="1" applyBorder="1" applyAlignment="1">
      <alignment vertical="center"/>
    </xf>
    <xf numFmtId="0" fontId="17" fillId="0" borderId="44" xfId="0" applyFont="1" applyBorder="1" applyAlignment="1">
      <alignment vertical="center"/>
    </xf>
    <xf numFmtId="0" fontId="19" fillId="8" borderId="64" xfId="0" applyFont="1" applyFill="1" applyBorder="1" applyAlignment="1">
      <alignment horizontal="center" vertical="center"/>
    </xf>
    <xf numFmtId="40" fontId="17" fillId="0" borderId="48" xfId="2" applyNumberFormat="1" applyFont="1" applyBorder="1" applyAlignment="1">
      <alignment vertical="center"/>
    </xf>
    <xf numFmtId="40" fontId="17" fillId="0" borderId="49" xfId="2" applyNumberFormat="1" applyFont="1" applyBorder="1" applyAlignment="1">
      <alignment vertical="center"/>
    </xf>
    <xf numFmtId="40" fontId="17" fillId="7" borderId="59" xfId="2" applyNumberFormat="1" applyFont="1" applyFill="1" applyBorder="1" applyAlignment="1">
      <alignment vertical="center"/>
    </xf>
    <xf numFmtId="0" fontId="17" fillId="0" borderId="14" xfId="0" applyFont="1" applyBorder="1" applyAlignment="1">
      <alignment vertical="center"/>
    </xf>
    <xf numFmtId="0" fontId="19" fillId="8" borderId="65" xfId="0" applyFont="1" applyFill="1" applyBorder="1" applyAlignment="1">
      <alignment horizontal="center" vertical="center"/>
    </xf>
    <xf numFmtId="40" fontId="17" fillId="0" borderId="50" xfId="2" applyNumberFormat="1" applyFont="1" applyBorder="1" applyAlignment="1">
      <alignment vertical="center"/>
    </xf>
    <xf numFmtId="40" fontId="17" fillId="0" borderId="51" xfId="2" applyNumberFormat="1" applyFont="1" applyBorder="1" applyAlignment="1">
      <alignment vertical="center"/>
    </xf>
    <xf numFmtId="40" fontId="17" fillId="0" borderId="52" xfId="2" applyNumberFormat="1" applyFont="1" applyBorder="1" applyAlignment="1">
      <alignment vertical="center"/>
    </xf>
    <xf numFmtId="0" fontId="11" fillId="0" borderId="5" xfId="0" applyFont="1" applyBorder="1" applyAlignment="1">
      <alignment horizontal="center" vertical="center"/>
    </xf>
    <xf numFmtId="0" fontId="19" fillId="4" borderId="60" xfId="0" applyFont="1" applyFill="1" applyBorder="1" applyAlignment="1">
      <alignment horizontal="center" vertical="center"/>
    </xf>
    <xf numFmtId="0" fontId="19" fillId="4" borderId="61" xfId="0" applyFont="1" applyFill="1" applyBorder="1" applyAlignment="1">
      <alignment horizontal="center" vertical="center"/>
    </xf>
    <xf numFmtId="0" fontId="19" fillId="4" borderId="62" xfId="0" applyFont="1" applyFill="1" applyBorder="1" applyAlignment="1">
      <alignment horizontal="center" vertical="center"/>
    </xf>
    <xf numFmtId="10" fontId="17" fillId="0" borderId="6" xfId="1" applyNumberFormat="1" applyFont="1" applyFill="1" applyBorder="1" applyAlignment="1">
      <alignment vertical="center"/>
    </xf>
    <xf numFmtId="10" fontId="17" fillId="0" borderId="53" xfId="1" applyNumberFormat="1" applyFont="1" applyFill="1" applyBorder="1" applyAlignment="1">
      <alignment vertical="center"/>
    </xf>
    <xf numFmtId="10" fontId="17" fillId="0" borderId="54" xfId="1" applyNumberFormat="1" applyFont="1" applyFill="1" applyBorder="1" applyAlignment="1">
      <alignment vertical="center"/>
    </xf>
    <xf numFmtId="10" fontId="17" fillId="0" borderId="9" xfId="1" applyNumberFormat="1" applyFont="1" applyFill="1" applyBorder="1" applyAlignment="1">
      <alignment vertical="center"/>
    </xf>
    <xf numFmtId="10" fontId="17" fillId="0" borderId="55" xfId="1" applyNumberFormat="1" applyFont="1" applyFill="1" applyBorder="1" applyAlignment="1">
      <alignment vertical="center"/>
    </xf>
    <xf numFmtId="10" fontId="17" fillId="0" borderId="56" xfId="1" applyNumberFormat="1" applyFont="1" applyFill="1" applyBorder="1" applyAlignment="1">
      <alignment vertical="center"/>
    </xf>
    <xf numFmtId="0" fontId="19" fillId="4" borderId="63" xfId="0" applyFont="1" applyFill="1" applyBorder="1" applyAlignment="1">
      <alignment horizontal="center" vertical="center"/>
    </xf>
    <xf numFmtId="40" fontId="17" fillId="0" borderId="57" xfId="2" applyNumberFormat="1" applyFont="1" applyFill="1" applyBorder="1" applyAlignment="1">
      <alignment vertical="center"/>
    </xf>
    <xf numFmtId="40" fontId="17" fillId="0" borderId="58" xfId="2" applyNumberFormat="1" applyFont="1" applyFill="1" applyBorder="1" applyAlignment="1">
      <alignment vertical="center"/>
    </xf>
    <xf numFmtId="0" fontId="19" fillId="4" borderId="64" xfId="0" applyFont="1" applyFill="1" applyBorder="1" applyAlignment="1">
      <alignment horizontal="center" vertical="center"/>
    </xf>
    <xf numFmtId="40" fontId="17" fillId="0" borderId="49" xfId="2" applyNumberFormat="1" applyFont="1" applyFill="1" applyBorder="1" applyAlignment="1">
      <alignment vertical="center"/>
    </xf>
    <xf numFmtId="40" fontId="17" fillId="0" borderId="59" xfId="2" applyNumberFormat="1" applyFont="1" applyFill="1" applyBorder="1" applyAlignment="1">
      <alignment vertical="center"/>
    </xf>
    <xf numFmtId="0" fontId="19" fillId="4" borderId="65" xfId="0" applyFont="1" applyFill="1" applyBorder="1" applyAlignment="1">
      <alignment horizontal="center" vertical="center"/>
    </xf>
    <xf numFmtId="0" fontId="18" fillId="0" borderId="36" xfId="0" applyFont="1" applyBorder="1" applyAlignment="1">
      <alignment vertical="center"/>
    </xf>
    <xf numFmtId="0" fontId="18" fillId="0" borderId="26" xfId="0" applyFont="1" applyBorder="1" applyAlignment="1">
      <alignment vertical="center"/>
    </xf>
    <xf numFmtId="0" fontId="18" fillId="0" borderId="38" xfId="0" applyFont="1" applyBorder="1" applyAlignment="1">
      <alignment vertical="center"/>
    </xf>
    <xf numFmtId="40" fontId="17" fillId="0" borderId="47" xfId="2" applyNumberFormat="1" applyFont="1" applyFill="1" applyBorder="1" applyAlignment="1">
      <alignment vertical="center"/>
    </xf>
    <xf numFmtId="40" fontId="17" fillId="0" borderId="48" xfId="2" applyNumberFormat="1" applyFont="1" applyFill="1" applyBorder="1" applyAlignment="1">
      <alignment vertical="center"/>
    </xf>
    <xf numFmtId="0" fontId="17" fillId="0" borderId="1" xfId="0" applyFont="1" applyBorder="1" applyAlignment="1">
      <alignment vertical="center"/>
    </xf>
    <xf numFmtId="0" fontId="17" fillId="0" borderId="23" xfId="0" applyFont="1" applyBorder="1" applyAlignment="1">
      <alignment vertical="center"/>
    </xf>
    <xf numFmtId="0" fontId="17" fillId="0" borderId="24" xfId="0" applyFont="1" applyBorder="1" applyAlignment="1">
      <alignment vertical="center"/>
    </xf>
    <xf numFmtId="40" fontId="17" fillId="0" borderId="66" xfId="2" applyNumberFormat="1" applyFont="1" applyFill="1" applyBorder="1" applyAlignment="1">
      <alignment vertical="center"/>
    </xf>
    <xf numFmtId="40" fontId="17" fillId="0" borderId="67" xfId="2" applyNumberFormat="1" applyFont="1" applyFill="1" applyBorder="1" applyAlignment="1">
      <alignment vertical="center"/>
    </xf>
    <xf numFmtId="40" fontId="17" fillId="0" borderId="68" xfId="2" applyNumberFormat="1" applyFont="1" applyFill="1" applyBorder="1" applyAlignment="1">
      <alignment vertical="center"/>
    </xf>
    <xf numFmtId="0" fontId="18" fillId="0" borderId="44" xfId="0" applyFont="1" applyBorder="1" applyAlignment="1">
      <alignment vertical="center"/>
    </xf>
    <xf numFmtId="0" fontId="20" fillId="0" borderId="0" xfId="0" applyFont="1" applyAlignment="1">
      <alignment horizontal="center" vertical="center"/>
    </xf>
    <xf numFmtId="0" fontId="21" fillId="0" borderId="45" xfId="0" applyFont="1" applyBorder="1" applyAlignment="1">
      <alignment vertical="center"/>
    </xf>
    <xf numFmtId="0" fontId="19" fillId="4" borderId="12" xfId="0" applyFont="1" applyFill="1" applyBorder="1" applyAlignment="1">
      <alignment horizontal="center" vertical="center"/>
    </xf>
    <xf numFmtId="0" fontId="19" fillId="4" borderId="69" xfId="0" applyFont="1" applyFill="1" applyBorder="1" applyAlignment="1">
      <alignment horizontal="center" vertical="center"/>
    </xf>
    <xf numFmtId="0" fontId="19" fillId="4" borderId="70" xfId="0" applyFont="1" applyFill="1" applyBorder="1" applyAlignment="1">
      <alignment horizontal="center" vertical="center"/>
    </xf>
    <xf numFmtId="0" fontId="17" fillId="0" borderId="15" xfId="0" applyFont="1" applyBorder="1" applyAlignment="1">
      <alignment vertical="center"/>
    </xf>
    <xf numFmtId="0" fontId="17" fillId="0" borderId="16" xfId="0" applyFont="1" applyBorder="1" applyAlignment="1">
      <alignment vertical="center"/>
    </xf>
    <xf numFmtId="38" fontId="19" fillId="4" borderId="15" xfId="2" applyFont="1" applyFill="1" applyBorder="1" applyAlignment="1">
      <alignment horizontal="center" vertical="center"/>
    </xf>
    <xf numFmtId="0" fontId="19" fillId="4" borderId="16" xfId="0" applyFont="1" applyFill="1" applyBorder="1" applyAlignment="1">
      <alignment horizontal="center" vertical="center"/>
    </xf>
    <xf numFmtId="0" fontId="17" fillId="0" borderId="2" xfId="0" applyFont="1" applyBorder="1" applyAlignment="1">
      <alignment vertical="center"/>
    </xf>
    <xf numFmtId="0" fontId="17" fillId="0" borderId="3" xfId="0" applyFont="1" applyBorder="1" applyAlignment="1">
      <alignment vertical="center"/>
    </xf>
    <xf numFmtId="0" fontId="17" fillId="0" borderId="5" xfId="0" applyFont="1" applyBorder="1" applyAlignment="1">
      <alignment vertical="center"/>
    </xf>
    <xf numFmtId="0" fontId="17" fillId="0" borderId="36" xfId="0" applyFont="1" applyBorder="1" applyAlignment="1">
      <alignment vertical="center"/>
    </xf>
    <xf numFmtId="40" fontId="17" fillId="0" borderId="18" xfId="2" applyNumberFormat="1" applyFont="1" applyBorder="1" applyAlignment="1">
      <alignment vertical="center"/>
    </xf>
    <xf numFmtId="40" fontId="17" fillId="0" borderId="0" xfId="2" applyNumberFormat="1" applyFont="1" applyAlignment="1">
      <alignment vertical="center"/>
    </xf>
    <xf numFmtId="0" fontId="17" fillId="0" borderId="37" xfId="0" applyFont="1" applyBorder="1" applyAlignment="1">
      <alignment vertical="center"/>
    </xf>
    <xf numFmtId="0" fontId="17" fillId="0" borderId="38" xfId="0" applyFont="1" applyBorder="1" applyAlignment="1">
      <alignment vertical="center"/>
    </xf>
    <xf numFmtId="40" fontId="17" fillId="0" borderId="41" xfId="2" applyNumberFormat="1" applyFont="1" applyBorder="1" applyAlignment="1">
      <alignment vertical="center"/>
    </xf>
    <xf numFmtId="0" fontId="17" fillId="0" borderId="39" xfId="0" applyFont="1" applyBorder="1" applyAlignment="1">
      <alignment vertical="center"/>
    </xf>
    <xf numFmtId="0" fontId="17" fillId="0" borderId="40" xfId="0" applyFont="1" applyBorder="1" applyAlignment="1">
      <alignment vertical="center"/>
    </xf>
    <xf numFmtId="40" fontId="22" fillId="6" borderId="42" xfId="2" applyNumberFormat="1" applyFont="1" applyFill="1" applyBorder="1" applyAlignment="1">
      <alignment vertical="center"/>
    </xf>
    <xf numFmtId="0" fontId="21" fillId="0" borderId="0" xfId="0" applyFont="1" applyAlignment="1">
      <alignment horizontal="center" vertical="center"/>
    </xf>
    <xf numFmtId="40" fontId="22" fillId="0" borderId="0" xfId="2" applyNumberFormat="1" applyFont="1" applyFill="1" applyBorder="1" applyAlignment="1">
      <alignment vertical="center"/>
    </xf>
    <xf numFmtId="40" fontId="23" fillId="0" borderId="0" xfId="2" applyNumberFormat="1" applyFont="1" applyAlignment="1">
      <alignment vertical="center"/>
    </xf>
    <xf numFmtId="0" fontId="24" fillId="0" borderId="23" xfId="0" applyFont="1" applyBorder="1" applyAlignment="1">
      <alignment horizontal="center" vertical="center"/>
    </xf>
    <xf numFmtId="0" fontId="24" fillId="0" borderId="45" xfId="0" applyFont="1" applyBorder="1" applyAlignment="1">
      <alignment vertical="center"/>
    </xf>
    <xf numFmtId="0" fontId="24" fillId="0" borderId="69" xfId="0" applyFont="1" applyBorder="1" applyAlignment="1">
      <alignment horizontal="center" vertical="center"/>
    </xf>
    <xf numFmtId="178" fontId="24" fillId="0" borderId="5" xfId="2" applyNumberFormat="1" applyFont="1" applyFill="1" applyBorder="1" applyAlignment="1">
      <alignment horizontal="center" vertical="center"/>
    </xf>
    <xf numFmtId="0" fontId="24" fillId="0" borderId="36" xfId="0" applyFont="1" applyBorder="1" applyAlignment="1">
      <alignment horizontal="center" vertical="center"/>
    </xf>
    <xf numFmtId="0" fontId="24" fillId="0" borderId="35" xfId="0" applyFont="1" applyBorder="1" applyAlignment="1">
      <alignment vertical="center"/>
    </xf>
    <xf numFmtId="0" fontId="10" fillId="0" borderId="71" xfId="0" applyFont="1" applyBorder="1" applyAlignment="1">
      <alignment horizontal="center" vertical="center"/>
    </xf>
    <xf numFmtId="0" fontId="25" fillId="0" borderId="24" xfId="0" applyFont="1" applyBorder="1" applyAlignment="1">
      <alignment vertical="center"/>
    </xf>
    <xf numFmtId="0" fontId="24" fillId="0" borderId="36" xfId="0" applyFont="1" applyBorder="1" applyAlignment="1">
      <alignment vertical="center"/>
    </xf>
    <xf numFmtId="0" fontId="24" fillId="0" borderId="72" xfId="0" applyFont="1" applyBorder="1" applyAlignment="1">
      <alignment horizontal="center" vertical="center"/>
    </xf>
    <xf numFmtId="0" fontId="24" fillId="0" borderId="38" xfId="0" applyFont="1" applyBorder="1" applyAlignment="1">
      <alignment horizontal="center" vertical="center"/>
    </xf>
    <xf numFmtId="0" fontId="24" fillId="0" borderId="40" xfId="0" applyFont="1" applyBorder="1" applyAlignment="1">
      <alignment horizontal="center" vertical="center"/>
    </xf>
    <xf numFmtId="0" fontId="26" fillId="0" borderId="61" xfId="0" applyFont="1" applyBorder="1" applyAlignment="1">
      <alignment vertical="center"/>
    </xf>
    <xf numFmtId="0" fontId="26" fillId="0" borderId="10" xfId="0" applyFont="1" applyBorder="1" applyAlignment="1">
      <alignment vertical="center"/>
    </xf>
    <xf numFmtId="0" fontId="26" fillId="0" borderId="26" xfId="0" applyFont="1" applyBorder="1" applyAlignment="1">
      <alignment vertical="center"/>
    </xf>
    <xf numFmtId="0" fontId="26" fillId="0" borderId="7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6" fillId="0" borderId="74" xfId="0" applyFont="1" applyBorder="1" applyAlignment="1">
      <alignment vertical="center"/>
    </xf>
    <xf numFmtId="0" fontId="26" fillId="0" borderId="55" xfId="0" applyFont="1" applyBorder="1" applyAlignment="1">
      <alignment vertical="center"/>
    </xf>
    <xf numFmtId="0" fontId="26" fillId="9" borderId="55" xfId="0" applyFont="1" applyFill="1" applyBorder="1" applyAlignment="1">
      <alignment vertical="center"/>
    </xf>
    <xf numFmtId="0" fontId="17" fillId="0" borderId="55" xfId="0" applyFont="1" applyBorder="1" applyAlignment="1">
      <alignment vertical="center"/>
    </xf>
    <xf numFmtId="176" fontId="17" fillId="0" borderId="55" xfId="0" applyNumberFormat="1" applyFont="1" applyBorder="1" applyAlignment="1">
      <alignment vertical="center"/>
    </xf>
    <xf numFmtId="176" fontId="17" fillId="0" borderId="55" xfId="1" applyNumberFormat="1" applyFont="1" applyBorder="1" applyAlignment="1">
      <alignment vertical="center"/>
    </xf>
    <xf numFmtId="10" fontId="17" fillId="0" borderId="55" xfId="1" applyNumberFormat="1" applyFont="1" applyBorder="1" applyAlignment="1">
      <alignment vertical="center"/>
    </xf>
    <xf numFmtId="40" fontId="17" fillId="0" borderId="55" xfId="0" applyNumberFormat="1" applyFont="1" applyBorder="1" applyAlignment="1">
      <alignment vertical="center"/>
    </xf>
    <xf numFmtId="10" fontId="17" fillId="0" borderId="55" xfId="0" applyNumberFormat="1" applyFont="1" applyBorder="1" applyAlignment="1">
      <alignment vertical="center"/>
    </xf>
    <xf numFmtId="0" fontId="14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35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0" fontId="39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40" fillId="0" borderId="0" xfId="0" applyFont="1" applyAlignment="1">
      <alignment vertical="center"/>
    </xf>
    <xf numFmtId="0" fontId="41" fillId="0" borderId="0" xfId="0" applyFont="1" applyAlignment="1">
      <alignment vertical="center"/>
    </xf>
    <xf numFmtId="0" fontId="42" fillId="0" borderId="0" xfId="0" applyFont="1" applyAlignment="1">
      <alignment vertical="center"/>
    </xf>
    <xf numFmtId="179" fontId="17" fillId="0" borderId="0" xfId="0" applyNumberFormat="1" applyFont="1" applyAlignment="1">
      <alignment vertical="center"/>
    </xf>
    <xf numFmtId="40" fontId="44" fillId="5" borderId="2" xfId="2" applyNumberFormat="1" applyFont="1" applyFill="1" applyBorder="1" applyAlignment="1">
      <alignment vertical="center"/>
    </xf>
    <xf numFmtId="40" fontId="44" fillId="5" borderId="69" xfId="2" applyNumberFormat="1" applyFont="1" applyFill="1" applyBorder="1" applyAlignment="1">
      <alignment vertical="center"/>
    </xf>
    <xf numFmtId="40" fontId="44" fillId="5" borderId="16" xfId="2" applyNumberFormat="1" applyFont="1" applyFill="1" applyBorder="1" applyAlignment="1">
      <alignment vertical="center"/>
    </xf>
    <xf numFmtId="40" fontId="45" fillId="0" borderId="70" xfId="2" applyNumberFormat="1" applyFont="1" applyBorder="1" applyAlignment="1">
      <alignment vertical="center"/>
    </xf>
    <xf numFmtId="40" fontId="44" fillId="0" borderId="15" xfId="2" applyNumberFormat="1" applyFont="1" applyBorder="1" applyAlignment="1">
      <alignment vertical="center"/>
    </xf>
    <xf numFmtId="40" fontId="44" fillId="0" borderId="69" xfId="2" applyNumberFormat="1" applyFont="1" applyBorder="1" applyAlignment="1">
      <alignment vertical="center"/>
    </xf>
    <xf numFmtId="40" fontId="44" fillId="0" borderId="70" xfId="2" applyNumberFormat="1" applyFont="1" applyBorder="1" applyAlignment="1">
      <alignment vertical="center"/>
    </xf>
    <xf numFmtId="0" fontId="46" fillId="10" borderId="0" xfId="0" applyFont="1" applyFill="1" applyAlignment="1">
      <alignment horizontal="left"/>
    </xf>
    <xf numFmtId="0" fontId="49" fillId="0" borderId="0" xfId="0" applyFont="1" applyAlignment="1">
      <alignment vertical="center"/>
    </xf>
    <xf numFmtId="0" fontId="0" fillId="10" borderId="0" xfId="0" applyFill="1" applyAlignment="1">
      <alignment horizontal="left"/>
    </xf>
    <xf numFmtId="0" fontId="9" fillId="0" borderId="0" xfId="0" applyFont="1" applyAlignment="1">
      <alignment vertical="center"/>
    </xf>
    <xf numFmtId="0" fontId="50" fillId="0" borderId="0" xfId="0" applyFont="1" applyAlignment="1">
      <alignment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31" fontId="43" fillId="0" borderId="0" xfId="0" applyNumberFormat="1" applyFont="1" applyAlignment="1">
      <alignment horizontal="center" vertical="center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Light16"/>
  <colors>
    <mruColors>
      <color rgb="FFFF99FF"/>
      <color rgb="FFFFCC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88476648654355"/>
          <c:y val="0.14491044913040813"/>
          <c:w val="0.72271511325091642"/>
          <c:h val="0.72792225609693384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リスク回避度推定!$N$4:$N$10</c:f>
              <c:numCache>
                <c:formatCode>General</c:formatCode>
                <c:ptCount val="7"/>
                <c:pt idx="0">
                  <c:v>50</c:v>
                </c:pt>
                <c:pt idx="1">
                  <c:v>70</c:v>
                </c:pt>
                <c:pt idx="2">
                  <c:v>80</c:v>
                </c:pt>
                <c:pt idx="3">
                  <c:v>90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</c:numCache>
            </c:numRef>
          </c:xVal>
          <c:yVal>
            <c:numRef>
              <c:f>リスク回避度推定!$P$4:$P$10</c:f>
              <c:numCache>
                <c:formatCode>#,##0.000;[Red]\-#,##0.000</c:formatCode>
                <c:ptCount val="7"/>
                <c:pt idx="0">
                  <c:v>-135</c:v>
                </c:pt>
                <c:pt idx="1">
                  <c:v>-35</c:v>
                </c:pt>
                <c:pt idx="2">
                  <c:v>-15</c:v>
                </c:pt>
                <c:pt idx="3">
                  <c:v>-6.666666666666667</c:v>
                </c:pt>
                <c:pt idx="4">
                  <c:v>0</c:v>
                </c:pt>
                <c:pt idx="5">
                  <c:v>10</c:v>
                </c:pt>
                <c:pt idx="6">
                  <c:v>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9F0-45BD-B855-177CC7B790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6016256"/>
        <c:axId val="116018176"/>
      </c:scatterChart>
      <c:valAx>
        <c:axId val="116016256"/>
        <c:scaling>
          <c:orientation val="minMax"/>
          <c:min val="40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6018176"/>
        <c:crosses val="autoZero"/>
        <c:crossBetween val="midCat"/>
      </c:valAx>
      <c:valAx>
        <c:axId val="1160181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601625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481152281600935"/>
          <c:y val="0.21043946284434822"/>
          <c:w val="0.81112516179655603"/>
          <c:h val="0.7284442944612054"/>
        </c:manualLayout>
      </c:layout>
      <c:scatterChart>
        <c:scatterStyle val="lineMarker"/>
        <c:varyColors val="0"/>
        <c:ser>
          <c:idx val="0"/>
          <c:order val="0"/>
          <c:tx>
            <c:strRef>
              <c:f>ポートフォリオ選択!$J$75</c:f>
              <c:strCache>
                <c:ptCount val="1"/>
                <c:pt idx="0">
                  <c:v>預金を含まない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ポートフォリオ選択!$I$76:$I$95</c:f>
              <c:numCache>
                <c:formatCode>General</c:formatCode>
                <c:ptCount val="20"/>
                <c:pt idx="0">
                  <c:v>28.835159868998428</c:v>
                </c:pt>
                <c:pt idx="1">
                  <c:v>18.885639975582265</c:v>
                </c:pt>
                <c:pt idx="2">
                  <c:v>18.609766004463737</c:v>
                </c:pt>
                <c:pt idx="3">
                  <c:v>25.364621155860821</c:v>
                </c:pt>
                <c:pt idx="4">
                  <c:v>41.460830914960809</c:v>
                </c:pt>
                <c:pt idx="5">
                  <c:v>55.695795318169772</c:v>
                </c:pt>
                <c:pt idx="6">
                  <c:v>0</c:v>
                </c:pt>
                <c:pt idx="7">
                  <c:v>54.137782645560705</c:v>
                </c:pt>
                <c:pt idx="8">
                  <c:v>18.609766004463729</c:v>
                </c:pt>
                <c:pt idx="9">
                  <c:v>32.417833919497433</c:v>
                </c:pt>
                <c:pt idx="10">
                  <c:v>21.310831669044276</c:v>
                </c:pt>
                <c:pt idx="11">
                  <c:v>24.622636034645037</c:v>
                </c:pt>
                <c:pt idx="12">
                  <c:v>37.054419269854137</c:v>
                </c:pt>
                <c:pt idx="13">
                  <c:v>33.560716665838619</c:v>
                </c:pt>
                <c:pt idx="14">
                  <c:v>0</c:v>
                </c:pt>
                <c:pt idx="15">
                  <c:v>10.805944639832477</c:v>
                </c:pt>
                <c:pt idx="16">
                  <c:v>21.611889279664954</c:v>
                </c:pt>
                <c:pt idx="17">
                  <c:v>32.417833919497433</c:v>
                </c:pt>
                <c:pt idx="18">
                  <c:v>38.901400703396916</c:v>
                </c:pt>
                <c:pt idx="19">
                  <c:v>58.352101055095382</c:v>
                </c:pt>
              </c:numCache>
            </c:numRef>
          </c:xVal>
          <c:yVal>
            <c:numRef>
              <c:f>ポートフォリオ選択!$J$76:$J$95</c:f>
              <c:numCache>
                <c:formatCode>0.000%</c:formatCode>
                <c:ptCount val="20"/>
                <c:pt idx="0">
                  <c:v>9.4799999999999995E-2</c:v>
                </c:pt>
                <c:pt idx="1">
                  <c:v>0.1793169476390791</c:v>
                </c:pt>
                <c:pt idx="2">
                  <c:v>0.2638338952781582</c:v>
                </c:pt>
                <c:pt idx="3">
                  <c:v>0.32722160600746752</c:v>
                </c:pt>
                <c:pt idx="4">
                  <c:v>0.43286779055631647</c:v>
                </c:pt>
                <c:pt idx="5">
                  <c:v>0.51738473819539554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32E-4679-8570-00AE57AA78C6}"/>
            </c:ext>
          </c:extLst>
        </c:ser>
        <c:ser>
          <c:idx val="1"/>
          <c:order val="1"/>
          <c:tx>
            <c:strRef>
              <c:f>ポートフォリオ選択!$K$75</c:f>
              <c:strCache>
                <c:ptCount val="1"/>
                <c:pt idx="0">
                  <c:v>預金を含む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ポートフォリオ選択!$I$76:$I$95</c:f>
              <c:numCache>
                <c:formatCode>General</c:formatCode>
                <c:ptCount val="20"/>
                <c:pt idx="0">
                  <c:v>28.835159868998428</c:v>
                </c:pt>
                <c:pt idx="1">
                  <c:v>18.885639975582265</c:v>
                </c:pt>
                <c:pt idx="2">
                  <c:v>18.609766004463737</c:v>
                </c:pt>
                <c:pt idx="3">
                  <c:v>25.364621155860821</c:v>
                </c:pt>
                <c:pt idx="4">
                  <c:v>41.460830914960809</c:v>
                </c:pt>
                <c:pt idx="5">
                  <c:v>55.695795318169772</c:v>
                </c:pt>
                <c:pt idx="6">
                  <c:v>0</c:v>
                </c:pt>
                <c:pt idx="7">
                  <c:v>54.137782645560705</c:v>
                </c:pt>
                <c:pt idx="8">
                  <c:v>18.609766004463729</c:v>
                </c:pt>
                <c:pt idx="9">
                  <c:v>32.417833919497433</c:v>
                </c:pt>
                <c:pt idx="10">
                  <c:v>21.310831669044276</c:v>
                </c:pt>
                <c:pt idx="11">
                  <c:v>24.622636034645037</c:v>
                </c:pt>
                <c:pt idx="12">
                  <c:v>37.054419269854137</c:v>
                </c:pt>
                <c:pt idx="13">
                  <c:v>33.560716665838619</c:v>
                </c:pt>
                <c:pt idx="14">
                  <c:v>0</c:v>
                </c:pt>
                <c:pt idx="15">
                  <c:v>10.805944639832477</c:v>
                </c:pt>
                <c:pt idx="16">
                  <c:v>21.611889279664954</c:v>
                </c:pt>
                <c:pt idx="17">
                  <c:v>32.417833919497433</c:v>
                </c:pt>
                <c:pt idx="18">
                  <c:v>38.901400703396916</c:v>
                </c:pt>
                <c:pt idx="19">
                  <c:v>58.352101055095382</c:v>
                </c:pt>
              </c:numCache>
            </c:numRef>
          </c:xVal>
          <c:yVal>
            <c:numRef>
              <c:f>ポートフォリオ選択!$K$76:$K$95</c:f>
              <c:numCache>
                <c:formatCode>General</c:formatCode>
                <c:ptCount val="20"/>
                <c:pt idx="6" formatCode="0.000%">
                  <c:v>0</c:v>
                </c:pt>
                <c:pt idx="7" formatCode="0.000%">
                  <c:v>0.76752077772899185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32E-4679-8570-00AE57AA78C6}"/>
            </c:ext>
          </c:extLst>
        </c:ser>
        <c:ser>
          <c:idx val="2"/>
          <c:order val="2"/>
          <c:tx>
            <c:strRef>
              <c:f>ポートフォリオ選択!$L$75</c:f>
              <c:strCache>
                <c:ptCount val="1"/>
                <c:pt idx="0">
                  <c:v>接点ポートフォリオ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ポートフォリオ選択!$I$76:$I$95</c:f>
              <c:numCache>
                <c:formatCode>General</c:formatCode>
                <c:ptCount val="20"/>
                <c:pt idx="0">
                  <c:v>28.835159868998428</c:v>
                </c:pt>
                <c:pt idx="1">
                  <c:v>18.885639975582265</c:v>
                </c:pt>
                <c:pt idx="2">
                  <c:v>18.609766004463737</c:v>
                </c:pt>
                <c:pt idx="3">
                  <c:v>25.364621155860821</c:v>
                </c:pt>
                <c:pt idx="4">
                  <c:v>41.460830914960809</c:v>
                </c:pt>
                <c:pt idx="5">
                  <c:v>55.695795318169772</c:v>
                </c:pt>
                <c:pt idx="6">
                  <c:v>0</c:v>
                </c:pt>
                <c:pt idx="7">
                  <c:v>54.137782645560705</c:v>
                </c:pt>
                <c:pt idx="8">
                  <c:v>18.609766004463729</c:v>
                </c:pt>
                <c:pt idx="9">
                  <c:v>32.417833919497433</c:v>
                </c:pt>
                <c:pt idx="10">
                  <c:v>21.310831669044276</c:v>
                </c:pt>
                <c:pt idx="11">
                  <c:v>24.622636034645037</c:v>
                </c:pt>
                <c:pt idx="12">
                  <c:v>37.054419269854137</c:v>
                </c:pt>
                <c:pt idx="13">
                  <c:v>33.560716665838619</c:v>
                </c:pt>
                <c:pt idx="14">
                  <c:v>0</c:v>
                </c:pt>
                <c:pt idx="15">
                  <c:v>10.805944639832477</c:v>
                </c:pt>
                <c:pt idx="16">
                  <c:v>21.611889279664954</c:v>
                </c:pt>
                <c:pt idx="17">
                  <c:v>32.417833919497433</c:v>
                </c:pt>
                <c:pt idx="18">
                  <c:v>38.901400703396916</c:v>
                </c:pt>
                <c:pt idx="19">
                  <c:v>58.352101055095382</c:v>
                </c:pt>
              </c:numCache>
            </c:numRef>
          </c:xVal>
          <c:yVal>
            <c:numRef>
              <c:f>ポートフォリオ選択!$L$76:$L$95</c:f>
              <c:numCache>
                <c:formatCode>General</c:formatCode>
                <c:ptCount val="20"/>
                <c:pt idx="8" formatCode="0.000%">
                  <c:v>0.2638338952781582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32E-4679-8570-00AE57AA78C6}"/>
            </c:ext>
          </c:extLst>
        </c:ser>
        <c:ser>
          <c:idx val="3"/>
          <c:order val="3"/>
          <c:tx>
            <c:strRef>
              <c:f>ポートフォリオ選択!$M$75</c:f>
              <c:strCache>
                <c:ptCount val="1"/>
                <c:pt idx="0">
                  <c:v>最適ポートフォリオ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6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ポートフォリオ選択!$I$76:$I$95</c:f>
              <c:numCache>
                <c:formatCode>General</c:formatCode>
                <c:ptCount val="20"/>
                <c:pt idx="0">
                  <c:v>28.835159868998428</c:v>
                </c:pt>
                <c:pt idx="1">
                  <c:v>18.885639975582265</c:v>
                </c:pt>
                <c:pt idx="2">
                  <c:v>18.609766004463737</c:v>
                </c:pt>
                <c:pt idx="3">
                  <c:v>25.364621155860821</c:v>
                </c:pt>
                <c:pt idx="4">
                  <c:v>41.460830914960809</c:v>
                </c:pt>
                <c:pt idx="5">
                  <c:v>55.695795318169772</c:v>
                </c:pt>
                <c:pt idx="6">
                  <c:v>0</c:v>
                </c:pt>
                <c:pt idx="7">
                  <c:v>54.137782645560705</c:v>
                </c:pt>
                <c:pt idx="8">
                  <c:v>18.609766004463729</c:v>
                </c:pt>
                <c:pt idx="9">
                  <c:v>32.417833919497433</c:v>
                </c:pt>
                <c:pt idx="10">
                  <c:v>21.310831669044276</c:v>
                </c:pt>
                <c:pt idx="11">
                  <c:v>24.622636034645037</c:v>
                </c:pt>
                <c:pt idx="12">
                  <c:v>37.054419269854137</c:v>
                </c:pt>
                <c:pt idx="13">
                  <c:v>33.560716665838619</c:v>
                </c:pt>
                <c:pt idx="14">
                  <c:v>0</c:v>
                </c:pt>
                <c:pt idx="15">
                  <c:v>10.805944639832477</c:v>
                </c:pt>
                <c:pt idx="16">
                  <c:v>21.611889279664954</c:v>
                </c:pt>
                <c:pt idx="17">
                  <c:v>32.417833919497433</c:v>
                </c:pt>
                <c:pt idx="18">
                  <c:v>38.901400703396916</c:v>
                </c:pt>
                <c:pt idx="19">
                  <c:v>58.352101055095382</c:v>
                </c:pt>
              </c:numCache>
            </c:numRef>
          </c:xVal>
          <c:yVal>
            <c:numRef>
              <c:f>ポートフォリオ選択!$M$76:$M$95</c:f>
              <c:numCache>
                <c:formatCode>General</c:formatCode>
                <c:ptCount val="20"/>
                <c:pt idx="9" formatCode="0.000%">
                  <c:v>0.45959328007724065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32E-4679-8570-00AE57AA78C6}"/>
            </c:ext>
          </c:extLst>
        </c:ser>
        <c:ser>
          <c:idx val="4"/>
          <c:order val="4"/>
          <c:tx>
            <c:strRef>
              <c:f>ポートフォリオ選択!$N$75</c:f>
              <c:strCache>
                <c:ptCount val="1"/>
                <c:pt idx="0">
                  <c:v>最適ポートフォリオ（非負制約）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7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xVal>
            <c:numRef>
              <c:f>ポートフォリオ選択!$I$76:$I$95</c:f>
              <c:numCache>
                <c:formatCode>General</c:formatCode>
                <c:ptCount val="20"/>
                <c:pt idx="0">
                  <c:v>28.835159868998428</c:v>
                </c:pt>
                <c:pt idx="1">
                  <c:v>18.885639975582265</c:v>
                </c:pt>
                <c:pt idx="2">
                  <c:v>18.609766004463737</c:v>
                </c:pt>
                <c:pt idx="3">
                  <c:v>25.364621155860821</c:v>
                </c:pt>
                <c:pt idx="4">
                  <c:v>41.460830914960809</c:v>
                </c:pt>
                <c:pt idx="5">
                  <c:v>55.695795318169772</c:v>
                </c:pt>
                <c:pt idx="6">
                  <c:v>0</c:v>
                </c:pt>
                <c:pt idx="7">
                  <c:v>54.137782645560705</c:v>
                </c:pt>
                <c:pt idx="8">
                  <c:v>18.609766004463729</c:v>
                </c:pt>
                <c:pt idx="9">
                  <c:v>32.417833919497433</c:v>
                </c:pt>
                <c:pt idx="10">
                  <c:v>21.310831669044276</c:v>
                </c:pt>
                <c:pt idx="11">
                  <c:v>24.622636034645037</c:v>
                </c:pt>
                <c:pt idx="12">
                  <c:v>37.054419269854137</c:v>
                </c:pt>
                <c:pt idx="13">
                  <c:v>33.560716665838619</c:v>
                </c:pt>
                <c:pt idx="14">
                  <c:v>0</c:v>
                </c:pt>
                <c:pt idx="15">
                  <c:v>10.805944639832477</c:v>
                </c:pt>
                <c:pt idx="16">
                  <c:v>21.611889279664954</c:v>
                </c:pt>
                <c:pt idx="17">
                  <c:v>32.417833919497433</c:v>
                </c:pt>
                <c:pt idx="18">
                  <c:v>38.901400703396916</c:v>
                </c:pt>
                <c:pt idx="19">
                  <c:v>58.352101055095382</c:v>
                </c:pt>
              </c:numCache>
            </c:numRef>
          </c:xVal>
          <c:yVal>
            <c:numRef>
              <c:f>ポートフォリオ選択!$N$76:$N$95</c:f>
              <c:numCache>
                <c:formatCode>General</c:formatCode>
                <c:ptCount val="20"/>
                <c:pt idx="10" formatCode="0.000%">
                  <c:v>0.29379217059653995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32E-4679-8570-00AE57AA78C6}"/>
            </c:ext>
          </c:extLst>
        </c:ser>
        <c:ser>
          <c:idx val="5"/>
          <c:order val="5"/>
          <c:tx>
            <c:strRef>
              <c:f>ポートフォリオ選択!$O$75</c:f>
              <c:strCache>
                <c:ptCount val="1"/>
                <c:pt idx="0">
                  <c:v>JR東日本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7"/>
            <c:spPr>
              <a:noFill/>
              <a:ln>
                <a:solidFill>
                  <a:srgbClr val="808000"/>
                </a:solidFill>
                <a:prstDash val="solid"/>
              </a:ln>
            </c:spPr>
          </c:marker>
          <c:xVal>
            <c:numRef>
              <c:f>ポートフォリオ選択!$I$76:$I$95</c:f>
              <c:numCache>
                <c:formatCode>General</c:formatCode>
                <c:ptCount val="20"/>
                <c:pt idx="0">
                  <c:v>28.835159868998428</c:v>
                </c:pt>
                <c:pt idx="1">
                  <c:v>18.885639975582265</c:v>
                </c:pt>
                <c:pt idx="2">
                  <c:v>18.609766004463737</c:v>
                </c:pt>
                <c:pt idx="3">
                  <c:v>25.364621155860821</c:v>
                </c:pt>
                <c:pt idx="4">
                  <c:v>41.460830914960809</c:v>
                </c:pt>
                <c:pt idx="5">
                  <c:v>55.695795318169772</c:v>
                </c:pt>
                <c:pt idx="6">
                  <c:v>0</c:v>
                </c:pt>
                <c:pt idx="7">
                  <c:v>54.137782645560705</c:v>
                </c:pt>
                <c:pt idx="8">
                  <c:v>18.609766004463729</c:v>
                </c:pt>
                <c:pt idx="9">
                  <c:v>32.417833919497433</c:v>
                </c:pt>
                <c:pt idx="10">
                  <c:v>21.310831669044276</c:v>
                </c:pt>
                <c:pt idx="11">
                  <c:v>24.622636034645037</c:v>
                </c:pt>
                <c:pt idx="12">
                  <c:v>37.054419269854137</c:v>
                </c:pt>
                <c:pt idx="13">
                  <c:v>33.560716665838619</c:v>
                </c:pt>
                <c:pt idx="14">
                  <c:v>0</c:v>
                </c:pt>
                <c:pt idx="15">
                  <c:v>10.805944639832477</c:v>
                </c:pt>
                <c:pt idx="16">
                  <c:v>21.611889279664954</c:v>
                </c:pt>
                <c:pt idx="17">
                  <c:v>32.417833919497433</c:v>
                </c:pt>
                <c:pt idx="18">
                  <c:v>38.901400703396916</c:v>
                </c:pt>
                <c:pt idx="19">
                  <c:v>58.352101055095382</c:v>
                </c:pt>
              </c:numCache>
            </c:numRef>
          </c:xVal>
          <c:yVal>
            <c:numRef>
              <c:f>ポートフォリオ選択!$O$76:$O$95</c:f>
              <c:numCache>
                <c:formatCode>General</c:formatCode>
                <c:ptCount val="20"/>
                <c:pt idx="11" formatCode="0.000%">
                  <c:v>0.21590000000000001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32E-4679-8570-00AE57AA78C6}"/>
            </c:ext>
          </c:extLst>
        </c:ser>
        <c:ser>
          <c:idx val="6"/>
          <c:order val="6"/>
          <c:tx>
            <c:strRef>
              <c:f>ポートフォリオ選択!$P$75</c:f>
              <c:strCache>
                <c:ptCount val="1"/>
                <c:pt idx="0">
                  <c:v>川崎重工業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7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ポートフォリオ選択!$I$76:$I$95</c:f>
              <c:numCache>
                <c:formatCode>General</c:formatCode>
                <c:ptCount val="20"/>
                <c:pt idx="0">
                  <c:v>28.835159868998428</c:v>
                </c:pt>
                <c:pt idx="1">
                  <c:v>18.885639975582265</c:v>
                </c:pt>
                <c:pt idx="2">
                  <c:v>18.609766004463737</c:v>
                </c:pt>
                <c:pt idx="3">
                  <c:v>25.364621155860821</c:v>
                </c:pt>
                <c:pt idx="4">
                  <c:v>41.460830914960809</c:v>
                </c:pt>
                <c:pt idx="5">
                  <c:v>55.695795318169772</c:v>
                </c:pt>
                <c:pt idx="6">
                  <c:v>0</c:v>
                </c:pt>
                <c:pt idx="7">
                  <c:v>54.137782645560705</c:v>
                </c:pt>
                <c:pt idx="8">
                  <c:v>18.609766004463729</c:v>
                </c:pt>
                <c:pt idx="9">
                  <c:v>32.417833919497433</c:v>
                </c:pt>
                <c:pt idx="10">
                  <c:v>21.310831669044276</c:v>
                </c:pt>
                <c:pt idx="11">
                  <c:v>24.622636034645037</c:v>
                </c:pt>
                <c:pt idx="12">
                  <c:v>37.054419269854137</c:v>
                </c:pt>
                <c:pt idx="13">
                  <c:v>33.560716665838619</c:v>
                </c:pt>
                <c:pt idx="14">
                  <c:v>0</c:v>
                </c:pt>
                <c:pt idx="15">
                  <c:v>10.805944639832477</c:v>
                </c:pt>
                <c:pt idx="16">
                  <c:v>21.611889279664954</c:v>
                </c:pt>
                <c:pt idx="17">
                  <c:v>32.417833919497433</c:v>
                </c:pt>
                <c:pt idx="18">
                  <c:v>38.901400703396916</c:v>
                </c:pt>
                <c:pt idx="19">
                  <c:v>58.352101055095382</c:v>
                </c:pt>
              </c:numCache>
            </c:numRef>
          </c:xVal>
          <c:yVal>
            <c:numRef>
              <c:f>ポートフォリオ選択!$P$76:$P$95</c:f>
              <c:numCache>
                <c:formatCode>General</c:formatCode>
                <c:ptCount val="20"/>
                <c:pt idx="12" formatCode="0.000%">
                  <c:v>0.38550000000000001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32E-4679-8570-00AE57AA78C6}"/>
            </c:ext>
          </c:extLst>
        </c:ser>
        <c:ser>
          <c:idx val="7"/>
          <c:order val="7"/>
          <c:tx>
            <c:strRef>
              <c:f>ポートフォリオ選択!$Q$75</c:f>
              <c:strCache>
                <c:ptCount val="1"/>
                <c:pt idx="0">
                  <c:v>コスモ石油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7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ポートフォリオ選択!$I$76:$I$95</c:f>
              <c:numCache>
                <c:formatCode>General</c:formatCode>
                <c:ptCount val="20"/>
                <c:pt idx="0">
                  <c:v>28.835159868998428</c:v>
                </c:pt>
                <c:pt idx="1">
                  <c:v>18.885639975582265</c:v>
                </c:pt>
                <c:pt idx="2">
                  <c:v>18.609766004463737</c:v>
                </c:pt>
                <c:pt idx="3">
                  <c:v>25.364621155860821</c:v>
                </c:pt>
                <c:pt idx="4">
                  <c:v>41.460830914960809</c:v>
                </c:pt>
                <c:pt idx="5">
                  <c:v>55.695795318169772</c:v>
                </c:pt>
                <c:pt idx="6">
                  <c:v>0</c:v>
                </c:pt>
                <c:pt idx="7">
                  <c:v>54.137782645560705</c:v>
                </c:pt>
                <c:pt idx="8">
                  <c:v>18.609766004463729</c:v>
                </c:pt>
                <c:pt idx="9">
                  <c:v>32.417833919497433</c:v>
                </c:pt>
                <c:pt idx="10">
                  <c:v>21.310831669044276</c:v>
                </c:pt>
                <c:pt idx="11">
                  <c:v>24.622636034645037</c:v>
                </c:pt>
                <c:pt idx="12">
                  <c:v>37.054419269854137</c:v>
                </c:pt>
                <c:pt idx="13">
                  <c:v>33.560716665838619</c:v>
                </c:pt>
                <c:pt idx="14">
                  <c:v>0</c:v>
                </c:pt>
                <c:pt idx="15">
                  <c:v>10.805944639832477</c:v>
                </c:pt>
                <c:pt idx="16">
                  <c:v>21.611889279664954</c:v>
                </c:pt>
                <c:pt idx="17">
                  <c:v>32.417833919497433</c:v>
                </c:pt>
                <c:pt idx="18">
                  <c:v>38.901400703396916</c:v>
                </c:pt>
                <c:pt idx="19">
                  <c:v>58.352101055095382</c:v>
                </c:pt>
              </c:numCache>
            </c:numRef>
          </c:xVal>
          <c:yVal>
            <c:numRef>
              <c:f>ポートフォリオ選択!$Q$76:$Q$95</c:f>
              <c:numCache>
                <c:formatCode>General</c:formatCode>
                <c:ptCount val="20"/>
                <c:pt idx="13" formatCode="0.000%">
                  <c:v>9.4799999999999995E-2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32E-4679-8570-00AE57AA78C6}"/>
            </c:ext>
          </c:extLst>
        </c:ser>
        <c:ser>
          <c:idx val="8"/>
          <c:order val="8"/>
          <c:tx>
            <c:strRef>
              <c:f>ポートフォリオ選択!$R$75</c:f>
              <c:strCache>
                <c:ptCount val="1"/>
                <c:pt idx="0">
                  <c:v>無差別曲線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none"/>
          </c:marker>
          <c:xVal>
            <c:numRef>
              <c:f>ポートフォリオ選択!$I$76:$I$95</c:f>
              <c:numCache>
                <c:formatCode>General</c:formatCode>
                <c:ptCount val="20"/>
                <c:pt idx="0">
                  <c:v>28.835159868998428</c:v>
                </c:pt>
                <c:pt idx="1">
                  <c:v>18.885639975582265</c:v>
                </c:pt>
                <c:pt idx="2">
                  <c:v>18.609766004463737</c:v>
                </c:pt>
                <c:pt idx="3">
                  <c:v>25.364621155860821</c:v>
                </c:pt>
                <c:pt idx="4">
                  <c:v>41.460830914960809</c:v>
                </c:pt>
                <c:pt idx="5">
                  <c:v>55.695795318169772</c:v>
                </c:pt>
                <c:pt idx="6">
                  <c:v>0</c:v>
                </c:pt>
                <c:pt idx="7">
                  <c:v>54.137782645560705</c:v>
                </c:pt>
                <c:pt idx="8">
                  <c:v>18.609766004463729</c:v>
                </c:pt>
                <c:pt idx="9">
                  <c:v>32.417833919497433</c:v>
                </c:pt>
                <c:pt idx="10">
                  <c:v>21.310831669044276</c:v>
                </c:pt>
                <c:pt idx="11">
                  <c:v>24.622636034645037</c:v>
                </c:pt>
                <c:pt idx="12">
                  <c:v>37.054419269854137</c:v>
                </c:pt>
                <c:pt idx="13">
                  <c:v>33.560716665838619</c:v>
                </c:pt>
                <c:pt idx="14">
                  <c:v>0</c:v>
                </c:pt>
                <c:pt idx="15">
                  <c:v>10.805944639832477</c:v>
                </c:pt>
                <c:pt idx="16">
                  <c:v>21.611889279664954</c:v>
                </c:pt>
                <c:pt idx="17">
                  <c:v>32.417833919497433</c:v>
                </c:pt>
                <c:pt idx="18">
                  <c:v>38.901400703396916</c:v>
                </c:pt>
                <c:pt idx="19">
                  <c:v>58.352101055095382</c:v>
                </c:pt>
              </c:numCache>
            </c:numRef>
          </c:xVal>
          <c:yVal>
            <c:numRef>
              <c:f>ポートフォリオ選択!$R$76:$R$95</c:f>
              <c:numCache>
                <c:formatCode>General</c:formatCode>
                <c:ptCount val="20"/>
                <c:pt idx="14" formatCode="0.00%">
                  <c:v>0.22979664003862035</c:v>
                </c:pt>
                <c:pt idx="15" formatCode="0.00%">
                  <c:v>0.2553296000429115</c:v>
                </c:pt>
                <c:pt idx="16" formatCode="0.00%">
                  <c:v>0.3319284800557849</c:v>
                </c:pt>
                <c:pt idx="17" formatCode="0.000%">
                  <c:v>0.45959328007724065</c:v>
                </c:pt>
                <c:pt idx="18" formatCode="0.00%">
                  <c:v>0.56070380169423362</c:v>
                </c:pt>
                <c:pt idx="19" formatCode="0.00%">
                  <c:v>0.9743377537637502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32E-4679-8570-00AE57AA78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6431488"/>
        <c:axId val="116445568"/>
      </c:scatterChart>
      <c:valAx>
        <c:axId val="1164314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6445568"/>
        <c:crosses val="autoZero"/>
        <c:crossBetween val="midCat"/>
      </c:valAx>
      <c:valAx>
        <c:axId val="1164455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6431488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11</xdr:row>
      <xdr:rowOff>0</xdr:rowOff>
    </xdr:from>
    <xdr:to>
      <xdr:col>17</xdr:col>
      <xdr:colOff>7620</xdr:colOff>
      <xdr:row>21</xdr:row>
      <xdr:rowOff>15240</xdr:rowOff>
    </xdr:to>
    <xdr:graphicFrame macro="">
      <xdr:nvGraphicFramePr>
        <xdr:cNvPr id="2134" name="グラフ 7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0.03725</cdr:x>
      <cdr:y>0.02675</cdr:y>
    </cdr:from>
    <cdr:to>
      <cdr:x>0.23982</cdr:x>
      <cdr:y>0.10076</cdr:y>
    </cdr:to>
    <cdr:sp macro="" textlink="">
      <cdr:nvSpPr>
        <cdr:cNvPr id="40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3103" y="61564"/>
          <a:ext cx="506292" cy="1703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効用 ｕ（w）</a:t>
          </a:r>
        </a:p>
      </cdr:txBody>
    </cdr:sp>
  </cdr:relSizeAnchor>
  <cdr:relSizeAnchor xmlns:cdr="http://schemas.openxmlformats.org/drawingml/2006/chartDrawing">
    <cdr:from>
      <cdr:x>0.89229</cdr:x>
      <cdr:y>0.8828</cdr:y>
    </cdr:from>
    <cdr:to>
      <cdr:x>0.98726</cdr:x>
      <cdr:y>0.95681</cdr:y>
    </cdr:to>
    <cdr:sp macro="" textlink="">
      <cdr:nvSpPr>
        <cdr:cNvPr id="40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30149" y="2031540"/>
          <a:ext cx="237373" cy="1703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富 w</a:t>
          </a:r>
        </a:p>
      </cdr:txBody>
    </cdr:sp>
  </cdr:relSizeAnchor>
  <cdr:relSizeAnchor xmlns:cdr="http://schemas.openxmlformats.org/drawingml/2006/chartDrawing">
    <cdr:from>
      <cdr:x>0.40178</cdr:x>
      <cdr:y>0.02675</cdr:y>
    </cdr:from>
    <cdr:to>
      <cdr:x>0.58074</cdr:x>
      <cdr:y>0.10076</cdr:y>
    </cdr:to>
    <cdr:sp macro="" textlink="">
      <cdr:nvSpPr>
        <cdr:cNvPr id="40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04183" y="61564"/>
          <a:ext cx="447302" cy="1703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効用関数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15240</xdr:colOff>
      <xdr:row>74</xdr:row>
      <xdr:rowOff>15240</xdr:rowOff>
    </xdr:from>
    <xdr:to>
      <xdr:col>7</xdr:col>
      <xdr:colOff>403860</xdr:colOff>
      <xdr:row>92</xdr:row>
      <xdr:rowOff>213360</xdr:rowOff>
    </xdr:to>
    <xdr:graphicFrame macro="">
      <xdr:nvGraphicFramePr>
        <xdr:cNvPr id="6316" name="グラフ 154">
          <a:extLst>
            <a:ext uri="{FF2B5EF4-FFF2-40B4-BE49-F238E27FC236}">
              <a16:creationId xmlns:a16="http://schemas.microsoft.com/office/drawing/2014/main" id="{00000000-0008-0000-0100-0000AC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480060</xdr:colOff>
      <xdr:row>66</xdr:row>
      <xdr:rowOff>83820</xdr:rowOff>
    </xdr:from>
    <xdr:to>
      <xdr:col>6</xdr:col>
      <xdr:colOff>495300</xdr:colOff>
      <xdr:row>69</xdr:row>
      <xdr:rowOff>15240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 bwMode="auto">
        <a:xfrm flipH="1" flipV="1">
          <a:off x="3825240" y="11323320"/>
          <a:ext cx="632460" cy="61722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2225" cap="flat" cmpd="sng" algn="ctr">
          <a:solidFill>
            <a:srgbClr val="FF0000"/>
          </a:solidFill>
          <a:prstDash val="solid"/>
          <a:round/>
          <a:headEnd type="none" w="med" len="med"/>
          <a:tailEnd type="arrow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AA12"/>
  <sheetViews>
    <sheetView workbookViewId="0"/>
  </sheetViews>
  <sheetFormatPr defaultColWidth="9" defaultRowHeight="18" customHeight="1" x14ac:dyDescent="0.2"/>
  <cols>
    <col min="1" max="1" width="9" style="1"/>
    <col min="2" max="2" width="5" style="1" customWidth="1"/>
    <col min="3" max="5" width="9" style="1"/>
    <col min="6" max="6" width="24.77734375" style="1" customWidth="1"/>
    <col min="7" max="7" width="6.44140625" style="1" customWidth="1"/>
    <col min="8" max="8" width="6.21875" style="1" customWidth="1"/>
    <col min="9" max="9" width="1.88671875" style="1" customWidth="1"/>
    <col min="10" max="10" width="6.44140625" style="1" customWidth="1"/>
    <col min="11" max="13" width="9" style="1"/>
    <col min="14" max="14" width="9.33203125" style="1" customWidth="1"/>
    <col min="15" max="23" width="9" style="1"/>
    <col min="24" max="24" width="16.6640625" style="1" customWidth="1"/>
    <col min="25" max="25" width="9" style="1"/>
    <col min="26" max="26" width="3.88671875" style="1" customWidth="1"/>
    <col min="27" max="16384" width="9" style="1"/>
  </cols>
  <sheetData>
    <row r="2" spans="2:27" ht="18" customHeight="1" thickBot="1" x14ac:dyDescent="0.25">
      <c r="B2" s="2" t="s">
        <v>54</v>
      </c>
    </row>
    <row r="3" spans="2:27" ht="18" customHeight="1" thickBot="1" x14ac:dyDescent="0.25">
      <c r="C3" s="4"/>
      <c r="D3" s="5" t="s">
        <v>61</v>
      </c>
      <c r="E3" s="6" t="s">
        <v>62</v>
      </c>
      <c r="F3" s="7" t="s">
        <v>63</v>
      </c>
      <c r="H3" s="3"/>
      <c r="I3" s="26" t="s">
        <v>6</v>
      </c>
      <c r="J3" s="27"/>
      <c r="L3" s="7" t="s">
        <v>9</v>
      </c>
      <c r="N3" s="36" t="s">
        <v>66</v>
      </c>
      <c r="O3" s="38" t="s">
        <v>10</v>
      </c>
      <c r="P3" s="39"/>
      <c r="R3" s="47" t="s">
        <v>11</v>
      </c>
      <c r="S3" s="37"/>
      <c r="U3" s="47" t="s">
        <v>12</v>
      </c>
      <c r="V3" s="37"/>
      <c r="X3" s="48" t="s">
        <v>14</v>
      </c>
      <c r="Y3" s="63">
        <f>(P9-P7)/(N9-N7)</f>
        <v>0.83333333333333337</v>
      </c>
      <c r="Z3" s="64" t="s">
        <v>18</v>
      </c>
      <c r="AA3" s="65">
        <f>AVERAGE(S7:S8)</f>
        <v>0.83333333333333337</v>
      </c>
    </row>
    <row r="4" spans="2:27" ht="18" customHeight="1" thickBot="1" x14ac:dyDescent="0.25">
      <c r="C4" s="17"/>
      <c r="D4" s="18"/>
      <c r="E4" s="19"/>
      <c r="F4" s="20" t="s">
        <v>64</v>
      </c>
      <c r="G4" s="21" t="s">
        <v>5</v>
      </c>
      <c r="H4" s="79" t="s">
        <v>61</v>
      </c>
      <c r="I4" s="28" t="s">
        <v>8</v>
      </c>
      <c r="J4" s="82" t="s">
        <v>65</v>
      </c>
      <c r="L4" s="20"/>
      <c r="N4" s="40">
        <f>E9</f>
        <v>50</v>
      </c>
      <c r="O4" s="41" t="str">
        <f>"u("&amp;N4&amp;")＝"</f>
        <v>u(50)＝</v>
      </c>
      <c r="P4" s="42">
        <f>(P8-P10*H9/10)/(J9/10)</f>
        <v>-135</v>
      </c>
      <c r="R4" s="49" t="str">
        <f t="shared" ref="R4:R9" si="0">"u'("&amp;(N5+N4)/2&amp;")＝"</f>
        <v>u'(60)＝</v>
      </c>
      <c r="S4" s="51">
        <f t="shared" ref="S4:S9" si="1">(P5-P4)/(N5-N4)</f>
        <v>5</v>
      </c>
      <c r="U4" s="55"/>
      <c r="V4" s="56"/>
      <c r="X4" s="57" t="s">
        <v>15</v>
      </c>
      <c r="Y4" s="66">
        <f>(P10-P6)/(N10-N6)</f>
        <v>0.75</v>
      </c>
      <c r="Z4" s="67" t="s">
        <v>18</v>
      </c>
      <c r="AA4" s="68">
        <f>AVERAGE(S6:S9)</f>
        <v>0.75</v>
      </c>
    </row>
    <row r="5" spans="2:27" ht="18" customHeight="1" thickBot="1" x14ac:dyDescent="0.25">
      <c r="C5" s="8" t="s">
        <v>0</v>
      </c>
      <c r="D5" s="9">
        <v>110</v>
      </c>
      <c r="E5" s="10">
        <v>90</v>
      </c>
      <c r="F5" s="22">
        <v>4</v>
      </c>
      <c r="H5" s="11">
        <f>F5</f>
        <v>4</v>
      </c>
      <c r="I5" s="29" t="s">
        <v>8</v>
      </c>
      <c r="J5" s="31">
        <f>10-H5</f>
        <v>6</v>
      </c>
      <c r="L5" s="33">
        <f>(D5*H5+E5*J5)/10</f>
        <v>98</v>
      </c>
      <c r="N5" s="12">
        <f>E8</f>
        <v>70</v>
      </c>
      <c r="O5" s="43" t="str">
        <f t="shared" ref="O5:O10" si="2">"u("&amp;N5&amp;")＝"</f>
        <v>u(70)＝</v>
      </c>
      <c r="P5" s="44">
        <f>(P8-P10*H8/10)/(J8/10)</f>
        <v>-35</v>
      </c>
      <c r="R5" s="49" t="str">
        <f t="shared" si="0"/>
        <v>u'(75)＝</v>
      </c>
      <c r="S5" s="51">
        <f t="shared" si="1"/>
        <v>2</v>
      </c>
      <c r="U5" s="53" t="str">
        <f>"u''("&amp;(N4+2*N5+N6)/4&amp;")＝"</f>
        <v>u''(67.5)＝</v>
      </c>
      <c r="V5" s="54">
        <f>(S5-S4)/((N6-N4)/2)</f>
        <v>-0.2</v>
      </c>
      <c r="X5" s="58" t="s">
        <v>13</v>
      </c>
      <c r="Y5" s="69">
        <f>Y3*0.6+Y4*0.4</f>
        <v>0.8</v>
      </c>
      <c r="Z5" s="70" t="s">
        <v>18</v>
      </c>
      <c r="AA5" s="71">
        <f>AA3*0.6+AA4*0.4</f>
        <v>0.8</v>
      </c>
    </row>
    <row r="6" spans="2:27" ht="18" customHeight="1" thickBot="1" x14ac:dyDescent="0.25">
      <c r="C6" s="11" t="s">
        <v>1</v>
      </c>
      <c r="D6" s="78">
        <v>110</v>
      </c>
      <c r="E6" s="80">
        <v>80</v>
      </c>
      <c r="F6" s="23">
        <v>6</v>
      </c>
      <c r="H6" s="11">
        <f>F6</f>
        <v>6</v>
      </c>
      <c r="I6" s="29" t="s">
        <v>7</v>
      </c>
      <c r="J6" s="31">
        <f>10-H6</f>
        <v>4</v>
      </c>
      <c r="L6" s="34">
        <f>(D6*H6+E6*J6)/10</f>
        <v>98</v>
      </c>
      <c r="N6" s="12">
        <f>E6</f>
        <v>80</v>
      </c>
      <c r="O6" s="43" t="str">
        <f t="shared" si="2"/>
        <v>u(80)＝</v>
      </c>
      <c r="P6" s="44">
        <f>(P8-P9*H6/10)/(J6/10)</f>
        <v>-15</v>
      </c>
      <c r="R6" s="49" t="str">
        <f t="shared" si="0"/>
        <v>u'(85)＝</v>
      </c>
      <c r="S6" s="51">
        <f t="shared" si="1"/>
        <v>0.83333333333333326</v>
      </c>
      <c r="U6" s="49" t="str">
        <f>"u''("&amp;(N5+2*N6+N7)/4&amp;")＝"</f>
        <v>u''(80)＝</v>
      </c>
      <c r="V6" s="51">
        <f>(S6-S5)/((N7-N5)/2)</f>
        <v>-0.11666666666666667</v>
      </c>
      <c r="Y6" s="72"/>
      <c r="Z6" s="72"/>
      <c r="AA6" s="72"/>
    </row>
    <row r="7" spans="2:27" ht="18" customHeight="1" thickBot="1" x14ac:dyDescent="0.25">
      <c r="C7" s="11" t="s">
        <v>2</v>
      </c>
      <c r="D7" s="79">
        <v>120</v>
      </c>
      <c r="E7" s="81">
        <v>80</v>
      </c>
      <c r="F7" s="23">
        <v>5</v>
      </c>
      <c r="H7" s="11">
        <f>F7</f>
        <v>5</v>
      </c>
      <c r="I7" s="29" t="s">
        <v>7</v>
      </c>
      <c r="J7" s="31">
        <f>10-H7</f>
        <v>5</v>
      </c>
      <c r="L7" s="34">
        <f>(D7*H7+E7*J7)/10</f>
        <v>100</v>
      </c>
      <c r="N7" s="12">
        <f>E5</f>
        <v>90</v>
      </c>
      <c r="O7" s="43" t="str">
        <f t="shared" si="2"/>
        <v>u(90)＝</v>
      </c>
      <c r="P7" s="44">
        <f>(P8-P9*H5/10)/(J5/10)</f>
        <v>-6.666666666666667</v>
      </c>
      <c r="R7" s="49" t="str">
        <f t="shared" si="0"/>
        <v>u'(95)＝</v>
      </c>
      <c r="S7" s="51">
        <f t="shared" si="1"/>
        <v>0.66666666666666674</v>
      </c>
      <c r="U7" s="49" t="str">
        <f>"u''("&amp;(N6+2*N7+N8)/4&amp;")＝"</f>
        <v>u''(90)＝</v>
      </c>
      <c r="V7" s="51">
        <f>(S7-S6)/((N8-N6)/2)</f>
        <v>-1.6666666666666653E-2</v>
      </c>
      <c r="X7" s="60" t="s">
        <v>16</v>
      </c>
      <c r="Y7" s="65">
        <f>AVERAGE(V5:V9)</f>
        <v>-6.9999999999999993E-2</v>
      </c>
      <c r="Z7" s="72"/>
      <c r="AA7" s="72"/>
    </row>
    <row r="8" spans="2:27" ht="18" customHeight="1" x14ac:dyDescent="0.2">
      <c r="C8" s="11" t="s">
        <v>3</v>
      </c>
      <c r="D8" s="12">
        <v>120</v>
      </c>
      <c r="E8" s="13">
        <v>70</v>
      </c>
      <c r="F8" s="23">
        <v>7</v>
      </c>
      <c r="H8" s="11">
        <f>F8</f>
        <v>7</v>
      </c>
      <c r="I8" s="29" t="s">
        <v>7</v>
      </c>
      <c r="J8" s="31">
        <f>10-H8</f>
        <v>3</v>
      </c>
      <c r="L8" s="34">
        <f>(D8*H8+E8*J8)/10</f>
        <v>105</v>
      </c>
      <c r="N8" s="12">
        <v>100</v>
      </c>
      <c r="O8" s="43" t="str">
        <f t="shared" si="2"/>
        <v>u(100)＝</v>
      </c>
      <c r="P8" s="44">
        <v>0</v>
      </c>
      <c r="R8" s="49" t="str">
        <f t="shared" si="0"/>
        <v>u'(105)＝</v>
      </c>
      <c r="S8" s="51">
        <f t="shared" si="1"/>
        <v>1</v>
      </c>
      <c r="U8" s="49" t="str">
        <f>"u''("&amp;(N7+2*N8+N9)/4&amp;")＝"</f>
        <v>u''(100)＝</v>
      </c>
      <c r="V8" s="51">
        <f>(S8-S7)/((N9-N7)/2)</f>
        <v>3.3333333333333326E-2</v>
      </c>
      <c r="X8" s="61" t="s">
        <v>50</v>
      </c>
      <c r="Y8" s="68">
        <f>AVERAGE(V6:V9)</f>
        <v>-3.7500000000000006E-2</v>
      </c>
      <c r="Z8" s="72"/>
      <c r="AA8" s="72"/>
    </row>
    <row r="9" spans="2:27" ht="18" customHeight="1" thickBot="1" x14ac:dyDescent="0.25">
      <c r="C9" s="14" t="s">
        <v>4</v>
      </c>
      <c r="D9" s="15">
        <v>120</v>
      </c>
      <c r="E9" s="16">
        <v>50</v>
      </c>
      <c r="F9" s="24">
        <v>9</v>
      </c>
      <c r="H9" s="14">
        <f>F9</f>
        <v>9</v>
      </c>
      <c r="I9" s="30" t="s">
        <v>7</v>
      </c>
      <c r="J9" s="32">
        <f>10-H9</f>
        <v>1</v>
      </c>
      <c r="L9" s="35">
        <f>(D9*H9+E9*J9)/10</f>
        <v>113</v>
      </c>
      <c r="N9" s="12">
        <f>D5</f>
        <v>110</v>
      </c>
      <c r="O9" s="43" t="str">
        <f t="shared" si="2"/>
        <v>u(110)＝</v>
      </c>
      <c r="P9" s="44">
        <v>10</v>
      </c>
      <c r="R9" s="50" t="str">
        <f t="shared" si="0"/>
        <v>u'(115)＝</v>
      </c>
      <c r="S9" s="52">
        <f t="shared" si="1"/>
        <v>0.5</v>
      </c>
      <c r="U9" s="50" t="str">
        <f>"u''("&amp;(N8+2*N9+N10)/4&amp;")＝"</f>
        <v>u''(110)＝</v>
      </c>
      <c r="V9" s="52">
        <f>(S9-S8)/((N10-N8)/2)</f>
        <v>-0.05</v>
      </c>
      <c r="X9" s="61" t="s">
        <v>35</v>
      </c>
      <c r="Y9" s="68">
        <f>2*(P4-$Y$5*(N4-$N$8))/((N4-$N$8)^2)</f>
        <v>-7.5999999999999998E-2</v>
      </c>
      <c r="Z9" s="72"/>
      <c r="AA9" s="72"/>
    </row>
    <row r="10" spans="2:27" ht="18" customHeight="1" thickBot="1" x14ac:dyDescent="0.25">
      <c r="N10" s="15">
        <f>D7</f>
        <v>120</v>
      </c>
      <c r="O10" s="45" t="str">
        <f t="shared" si="2"/>
        <v>u(120)＝</v>
      </c>
      <c r="P10" s="46">
        <f>(P8-P6*J7/10)/(H7/10)</f>
        <v>15</v>
      </c>
      <c r="U10" s="21"/>
      <c r="X10" s="61" t="s">
        <v>51</v>
      </c>
      <c r="Y10" s="68">
        <f>2*(P5-$Y$5*(N5-$N$8))/((N5-$N$8)^2)</f>
        <v>-2.4444444444444446E-2</v>
      </c>
    </row>
    <row r="11" spans="2:27" ht="18" customHeight="1" thickBot="1" x14ac:dyDescent="0.25">
      <c r="C11" s="58"/>
      <c r="D11" s="59" t="s">
        <v>88</v>
      </c>
      <c r="E11" s="73"/>
      <c r="F11" s="74">
        <f>-Y12/Y5</f>
        <v>4.373263888888889E-2</v>
      </c>
      <c r="X11" s="61" t="s">
        <v>52</v>
      </c>
      <c r="Y11" s="68">
        <f>2*(P10-$Y$5*(N10-$N$8))/((N10-$N$8)^2)</f>
        <v>-5.0000000000000001E-3</v>
      </c>
    </row>
    <row r="12" spans="2:27" ht="18" customHeight="1" thickBot="1" x14ac:dyDescent="0.25">
      <c r="X12" s="62" t="s">
        <v>17</v>
      </c>
      <c r="Y12" s="71">
        <f>(3*(Y8+Y10+Y11)/3+(Y7+Y9)/2)/4</f>
        <v>-3.4986111111111114E-2</v>
      </c>
    </row>
  </sheetData>
  <phoneticPr fontId="2"/>
  <pageMargins left="0.25" right="0.25" top="0.75" bottom="0.75" header="0.3" footer="0.3"/>
  <pageSetup paperSize="9" scale="59" orientation="landscape" horizont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96"/>
  <sheetViews>
    <sheetView tabSelected="1" workbookViewId="0">
      <selection activeCell="X8" sqref="X8"/>
    </sheetView>
  </sheetViews>
  <sheetFormatPr defaultColWidth="9" defaultRowHeight="18" customHeight="1" x14ac:dyDescent="0.2"/>
  <cols>
    <col min="1" max="1" width="6" style="1" customWidth="1"/>
    <col min="2" max="2" width="9" style="1"/>
    <col min="3" max="3" width="15" style="1" customWidth="1"/>
    <col min="4" max="7" width="9" style="1"/>
    <col min="8" max="8" width="11" style="1" customWidth="1"/>
    <col min="9" max="16" width="9" style="1"/>
    <col min="17" max="17" width="10.21875" style="1" customWidth="1"/>
    <col min="18" max="19" width="9" style="1"/>
    <col min="20" max="22" width="9.44140625" style="1" customWidth="1"/>
    <col min="23" max="27" width="9" style="1"/>
    <col min="28" max="33" width="0" style="1" hidden="1" customWidth="1"/>
    <col min="34" max="16384" width="9" style="1"/>
  </cols>
  <sheetData>
    <row r="1" spans="1:26" ht="43.95" customHeight="1" x14ac:dyDescent="0.2">
      <c r="A1" s="238" t="s">
        <v>106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8"/>
      <c r="R1" s="238"/>
      <c r="S1" s="238"/>
      <c r="T1" s="238"/>
      <c r="U1" s="238"/>
      <c r="V1" s="238"/>
      <c r="W1" s="238"/>
      <c r="X1" s="238"/>
      <c r="Y1" s="238"/>
      <c r="Z1" s="238"/>
    </row>
    <row r="2" spans="1:26" ht="30" customHeight="1" x14ac:dyDescent="0.2">
      <c r="A2" s="91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241">
        <v>45676</v>
      </c>
      <c r="U2" s="241"/>
      <c r="W2" s="91"/>
      <c r="X2" s="91"/>
      <c r="Y2" s="91"/>
      <c r="Z2" s="91"/>
    </row>
    <row r="3" spans="1:26" ht="30" customHeight="1" x14ac:dyDescent="0.2">
      <c r="A3" s="91"/>
      <c r="B3" s="239" t="s">
        <v>53</v>
      </c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239"/>
      <c r="X3" s="239"/>
      <c r="Y3" s="239"/>
      <c r="Z3" s="91"/>
    </row>
    <row r="4" spans="1:26" ht="30" customHeight="1" x14ac:dyDescent="0.2">
      <c r="A4" s="91"/>
      <c r="B4" s="214"/>
      <c r="C4" s="240" t="s">
        <v>77</v>
      </c>
      <c r="D4" s="240"/>
      <c r="E4" s="240"/>
      <c r="F4" s="240"/>
      <c r="G4" s="240"/>
      <c r="H4" s="240"/>
      <c r="I4" s="240"/>
      <c r="J4" s="240"/>
      <c r="K4" s="240"/>
      <c r="L4" s="240"/>
      <c r="M4" s="240"/>
      <c r="N4" s="240"/>
      <c r="O4" s="240"/>
      <c r="P4" s="240"/>
      <c r="Q4" s="240"/>
      <c r="R4" s="240"/>
      <c r="S4" s="240"/>
      <c r="T4" s="240"/>
      <c r="U4" s="240"/>
      <c r="V4" s="240"/>
      <c r="W4" s="240"/>
      <c r="X4" s="240"/>
      <c r="Y4" s="91"/>
      <c r="Z4" s="91"/>
    </row>
    <row r="5" spans="1:26" ht="22.95" customHeight="1" x14ac:dyDescent="0.2">
      <c r="A5" s="91"/>
      <c r="B5" s="91"/>
      <c r="C5" s="91"/>
      <c r="D5" s="91"/>
      <c r="E5" s="91"/>
      <c r="F5" s="160"/>
      <c r="G5" s="160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</row>
    <row r="6" spans="1:26" ht="21" customHeight="1" x14ac:dyDescent="0.2">
      <c r="A6" s="91"/>
      <c r="B6" s="91"/>
      <c r="C6" s="91"/>
      <c r="D6" s="215" t="s">
        <v>72</v>
      </c>
      <c r="E6" s="216"/>
      <c r="F6" s="215" t="s">
        <v>78</v>
      </c>
      <c r="G6" s="215"/>
      <c r="H6" s="217"/>
      <c r="I6" s="218"/>
      <c r="J6" s="218"/>
      <c r="K6" s="218"/>
      <c r="L6" s="218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</row>
    <row r="7" spans="1:26" ht="21" customHeight="1" x14ac:dyDescent="0.2">
      <c r="A7" s="91"/>
      <c r="B7" s="91"/>
      <c r="C7" s="91"/>
      <c r="D7" s="215" t="s">
        <v>71</v>
      </c>
      <c r="E7" s="216"/>
      <c r="F7" s="215" t="s">
        <v>83</v>
      </c>
      <c r="G7" s="215"/>
      <c r="H7" s="217"/>
      <c r="I7" s="218"/>
      <c r="J7" s="218"/>
      <c r="K7" s="218"/>
      <c r="L7" s="218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</row>
    <row r="8" spans="1:26" ht="21" customHeight="1" x14ac:dyDescent="0.2">
      <c r="A8" s="91"/>
      <c r="B8" s="91"/>
      <c r="C8" s="91"/>
      <c r="D8" s="215"/>
      <c r="E8" s="216"/>
      <c r="F8" s="215" t="s">
        <v>84</v>
      </c>
      <c r="G8" s="215"/>
      <c r="H8" s="217"/>
      <c r="I8" s="218"/>
      <c r="J8" s="218"/>
      <c r="K8" s="218"/>
      <c r="L8" s="218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</row>
    <row r="9" spans="1:26" ht="21" customHeight="1" x14ac:dyDescent="0.2">
      <c r="A9" s="91"/>
      <c r="B9" s="91"/>
      <c r="C9" s="91"/>
      <c r="D9" s="215" t="s">
        <v>73</v>
      </c>
      <c r="E9" s="216"/>
      <c r="F9" s="215" t="s">
        <v>90</v>
      </c>
      <c r="G9" s="215"/>
      <c r="H9" s="217"/>
      <c r="I9" s="218"/>
      <c r="J9" s="218"/>
      <c r="K9" s="218"/>
      <c r="L9" s="218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</row>
    <row r="10" spans="1:26" ht="21" customHeight="1" x14ac:dyDescent="0.2">
      <c r="A10" s="91"/>
      <c r="B10" s="91"/>
      <c r="C10" s="91"/>
      <c r="D10" s="215" t="s">
        <v>75</v>
      </c>
      <c r="E10" s="216"/>
      <c r="F10" s="215" t="s">
        <v>91</v>
      </c>
      <c r="G10" s="215"/>
      <c r="H10" s="217"/>
      <c r="I10" s="218"/>
      <c r="J10" s="218"/>
      <c r="K10" s="218"/>
      <c r="L10" s="218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</row>
    <row r="11" spans="1:26" ht="21" customHeight="1" x14ac:dyDescent="0.2">
      <c r="A11" s="91"/>
      <c r="B11" s="91"/>
      <c r="C11" s="91"/>
      <c r="D11" s="215"/>
      <c r="E11" s="216"/>
      <c r="F11" s="215" t="s">
        <v>85</v>
      </c>
      <c r="G11" s="215"/>
      <c r="H11" s="217"/>
      <c r="I11" s="218"/>
      <c r="J11" s="218"/>
      <c r="K11" s="218"/>
      <c r="L11" s="218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</row>
    <row r="12" spans="1:26" ht="21" customHeight="1" x14ac:dyDescent="0.2">
      <c r="A12" s="91"/>
      <c r="B12" s="91"/>
      <c r="C12" s="91"/>
      <c r="D12" s="215" t="s">
        <v>76</v>
      </c>
      <c r="E12" s="216"/>
      <c r="F12" s="215" t="s">
        <v>94</v>
      </c>
      <c r="G12" s="215"/>
      <c r="H12" s="217"/>
      <c r="I12" s="218"/>
      <c r="J12" s="218"/>
      <c r="K12" s="218"/>
      <c r="L12" s="218"/>
      <c r="M12" s="91"/>
      <c r="N12" s="91"/>
      <c r="O12" s="91"/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1"/>
    </row>
    <row r="13" spans="1:26" ht="18" customHeight="1" x14ac:dyDescent="0.2">
      <c r="A13" s="91"/>
      <c r="B13" s="91"/>
      <c r="C13" s="91"/>
      <c r="D13" s="215"/>
      <c r="E13" s="216"/>
      <c r="F13" s="215"/>
      <c r="G13" s="215"/>
      <c r="H13" s="217"/>
      <c r="I13" s="218"/>
      <c r="J13" s="218"/>
      <c r="K13" s="218"/>
      <c r="L13" s="218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</row>
    <row r="14" spans="1:26" ht="11.4" customHeight="1" thickBot="1" x14ac:dyDescent="0.25">
      <c r="F14" s="25"/>
      <c r="G14" s="25"/>
    </row>
    <row r="15" spans="1:26" ht="18" customHeight="1" x14ac:dyDescent="0.2">
      <c r="B15" s="91"/>
      <c r="C15" s="91"/>
      <c r="D15" s="94"/>
      <c r="E15" s="95"/>
      <c r="F15" s="96" t="s">
        <v>19</v>
      </c>
      <c r="G15" s="97"/>
      <c r="J15" s="219" t="s">
        <v>79</v>
      </c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</row>
    <row r="16" spans="1:26" ht="18" customHeight="1" thickBot="1" x14ac:dyDescent="0.25">
      <c r="B16" s="98"/>
      <c r="C16" s="98"/>
      <c r="D16" s="99"/>
      <c r="E16" s="100" t="s">
        <v>58</v>
      </c>
      <c r="F16" s="101" t="s">
        <v>59</v>
      </c>
      <c r="G16" s="102" t="s">
        <v>60</v>
      </c>
      <c r="J16" s="219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</row>
    <row r="17" spans="2:27" ht="18" customHeight="1" x14ac:dyDescent="0.2">
      <c r="B17" s="103" t="s">
        <v>55</v>
      </c>
      <c r="C17" s="104"/>
      <c r="D17" s="105"/>
      <c r="E17" s="106">
        <v>4.1513881999999998E-3</v>
      </c>
      <c r="F17" s="107">
        <v>7.4136810000000001E-3</v>
      </c>
      <c r="G17" s="108">
        <v>1.8237438999999999E-3</v>
      </c>
      <c r="J17" s="219" t="s">
        <v>80</v>
      </c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</row>
    <row r="18" spans="2:27" ht="18" customHeight="1" x14ac:dyDescent="0.2">
      <c r="B18" s="109" t="s">
        <v>56</v>
      </c>
      <c r="C18" s="110"/>
      <c r="D18" s="111"/>
      <c r="E18" s="112">
        <v>3.4145452600000001E-2</v>
      </c>
      <c r="F18" s="113">
        <v>5.1385234100000003E-2</v>
      </c>
      <c r="G18" s="114">
        <v>4.6540340299999997E-2</v>
      </c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</row>
    <row r="19" spans="2:27" ht="18" customHeight="1" x14ac:dyDescent="0.2">
      <c r="B19" s="115" t="s">
        <v>57</v>
      </c>
      <c r="C19" s="116"/>
      <c r="D19" s="117" t="str">
        <f>E16</f>
        <v>JR東日本</v>
      </c>
      <c r="E19" s="118">
        <v>1</v>
      </c>
      <c r="F19" s="119">
        <v>-1.2797892999999999E-2</v>
      </c>
      <c r="G19" s="120">
        <v>2.6707251000000001E-2</v>
      </c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1"/>
    </row>
    <row r="20" spans="2:27" ht="18" customHeight="1" x14ac:dyDescent="0.2">
      <c r="B20" s="121"/>
      <c r="C20" s="91"/>
      <c r="D20" s="122" t="str">
        <f>F16</f>
        <v>川崎重工業</v>
      </c>
      <c r="E20" s="123">
        <f>F19</f>
        <v>-1.2797892999999999E-2</v>
      </c>
      <c r="F20" s="124">
        <v>1</v>
      </c>
      <c r="G20" s="125">
        <v>-0.101552532</v>
      </c>
      <c r="J20" s="220" t="s">
        <v>82</v>
      </c>
      <c r="K20" s="221"/>
      <c r="L20" s="221"/>
      <c r="M20" s="221"/>
      <c r="N20" s="221"/>
      <c r="O20" s="86"/>
      <c r="P20" s="91"/>
      <c r="Q20" s="91"/>
      <c r="R20" s="91"/>
      <c r="S20" s="91"/>
      <c r="T20" s="91"/>
      <c r="U20" s="91"/>
      <c r="V20" s="91"/>
    </row>
    <row r="21" spans="2:27" ht="18" customHeight="1" thickBot="1" x14ac:dyDescent="0.25">
      <c r="B21" s="126"/>
      <c r="C21" s="98"/>
      <c r="D21" s="127" t="str">
        <f>G16</f>
        <v>コスモ石油</v>
      </c>
      <c r="E21" s="128">
        <f>G19</f>
        <v>2.6707251000000001E-2</v>
      </c>
      <c r="F21" s="129">
        <f>G20</f>
        <v>-0.101552532</v>
      </c>
      <c r="G21" s="130">
        <v>1</v>
      </c>
      <c r="J21" s="221"/>
      <c r="K21" s="221"/>
      <c r="L21" s="221"/>
      <c r="M21" s="221"/>
      <c r="N21" s="88"/>
      <c r="O21" s="86"/>
      <c r="P21" s="87"/>
      <c r="Q21" s="87"/>
      <c r="R21" s="87"/>
      <c r="S21" s="87"/>
      <c r="T21" s="87"/>
      <c r="U21" s="91"/>
      <c r="V21" s="91"/>
    </row>
    <row r="22" spans="2:27" ht="18" customHeight="1" thickBot="1" x14ac:dyDescent="0.25">
      <c r="B22" s="91"/>
      <c r="C22" s="91"/>
      <c r="D22" s="91"/>
      <c r="E22" s="91"/>
      <c r="F22" s="91"/>
      <c r="G22" s="91"/>
      <c r="J22" s="221"/>
      <c r="K22" s="90" t="s">
        <v>95</v>
      </c>
      <c r="L22" s="90"/>
      <c r="M22" s="89"/>
      <c r="N22" s="89"/>
      <c r="O22" s="86"/>
      <c r="P22" s="86"/>
      <c r="Q22" s="86"/>
      <c r="R22" s="86"/>
      <c r="S22" s="86"/>
      <c r="T22" s="86"/>
      <c r="U22" s="91"/>
      <c r="V22" s="91"/>
    </row>
    <row r="23" spans="2:27" ht="18" customHeight="1" x14ac:dyDescent="0.2">
      <c r="B23" s="91"/>
      <c r="C23" s="91"/>
      <c r="D23" s="94"/>
      <c r="E23" s="131"/>
      <c r="F23" s="96" t="s">
        <v>19</v>
      </c>
      <c r="G23" s="97"/>
      <c r="J23" s="221"/>
      <c r="K23" s="91"/>
      <c r="L23" s="90"/>
      <c r="M23" s="223"/>
      <c r="N23" s="89"/>
      <c r="O23" s="222"/>
      <c r="P23" s="86"/>
      <c r="Q23" s="86"/>
      <c r="R23" s="86"/>
      <c r="S23" s="86"/>
      <c r="T23" s="86"/>
      <c r="U23" s="91"/>
      <c r="V23" s="91"/>
    </row>
    <row r="24" spans="2:27" ht="18" customHeight="1" thickBot="1" x14ac:dyDescent="0.25">
      <c r="B24" s="98"/>
      <c r="C24" s="98"/>
      <c r="D24" s="99"/>
      <c r="E24" s="132" t="str">
        <f>E16</f>
        <v>JR東日本</v>
      </c>
      <c r="F24" s="133" t="str">
        <f>F16</f>
        <v>川崎重工業</v>
      </c>
      <c r="G24" s="134" t="str">
        <f>G16</f>
        <v>コスモ石油</v>
      </c>
      <c r="J24" s="221"/>
      <c r="K24" s="90" t="s">
        <v>105</v>
      </c>
      <c r="L24" s="91"/>
      <c r="M24" s="91"/>
      <c r="O24"/>
      <c r="P24"/>
      <c r="Q24"/>
      <c r="R24"/>
      <c r="S24"/>
      <c r="T24"/>
      <c r="U24" s="91"/>
      <c r="V24" s="91"/>
    </row>
    <row r="25" spans="2:27" ht="18" customHeight="1" x14ac:dyDescent="0.2">
      <c r="B25" s="103" t="s">
        <v>20</v>
      </c>
      <c r="C25" s="104"/>
      <c r="D25" s="105"/>
      <c r="E25" s="135">
        <f>E17*52</f>
        <v>0.2158721864</v>
      </c>
      <c r="F25" s="136">
        <f>F17*52</f>
        <v>0.385511412</v>
      </c>
      <c r="G25" s="137">
        <f>G17*52</f>
        <v>9.48346828E-2</v>
      </c>
      <c r="J25" s="221"/>
      <c r="K25" s="91"/>
      <c r="L25" s="91"/>
      <c r="M25" s="91"/>
      <c r="O25"/>
      <c r="P25"/>
      <c r="Q25"/>
      <c r="R25"/>
      <c r="S25"/>
      <c r="T25"/>
      <c r="U25" s="91"/>
      <c r="V25" s="91"/>
    </row>
    <row r="26" spans="2:27" ht="18" customHeight="1" x14ac:dyDescent="0.2">
      <c r="B26" s="109" t="s">
        <v>22</v>
      </c>
      <c r="C26" s="110"/>
      <c r="D26" s="111"/>
      <c r="E26" s="138">
        <f>E18*(52^0.5)</f>
        <v>0.24622636034645037</v>
      </c>
      <c r="F26" s="139">
        <f>F18*(52^0.5)</f>
        <v>0.37054419269854133</v>
      </c>
      <c r="G26" s="140">
        <f>G18*(52^0.5)</f>
        <v>0.33560716665838619</v>
      </c>
      <c r="J26" s="221"/>
      <c r="K26" s="90" t="s">
        <v>81</v>
      </c>
      <c r="L26" s="91"/>
      <c r="M26" s="91"/>
      <c r="O26"/>
      <c r="P26"/>
      <c r="Q26"/>
      <c r="R26"/>
      <c r="S26"/>
      <c r="T26"/>
      <c r="U26" s="91"/>
      <c r="V26" s="91"/>
    </row>
    <row r="27" spans="2:27" ht="18" customHeight="1" x14ac:dyDescent="0.2">
      <c r="B27" s="115" t="s">
        <v>21</v>
      </c>
      <c r="C27" s="116"/>
      <c r="D27" s="141" t="str">
        <f>D19</f>
        <v>JR東日本</v>
      </c>
      <c r="E27" s="118">
        <v>1</v>
      </c>
      <c r="F27" s="142">
        <f>F19</f>
        <v>-1.2797892999999999E-2</v>
      </c>
      <c r="G27" s="143">
        <f>G19</f>
        <v>2.6707251000000001E-2</v>
      </c>
      <c r="J27" s="221"/>
      <c r="K27"/>
      <c r="L27"/>
      <c r="M27"/>
      <c r="N27"/>
      <c r="O27"/>
      <c r="P27"/>
      <c r="Q27"/>
      <c r="R27"/>
      <c r="S27"/>
      <c r="T27"/>
      <c r="U27" s="91"/>
      <c r="V27" s="91"/>
    </row>
    <row r="28" spans="2:27" ht="18" customHeight="1" x14ac:dyDescent="0.2">
      <c r="B28" s="121"/>
      <c r="C28" s="91"/>
      <c r="D28" s="144" t="str">
        <f>D20</f>
        <v>川崎重工業</v>
      </c>
      <c r="E28" s="123">
        <f>F27</f>
        <v>-1.2797892999999999E-2</v>
      </c>
      <c r="F28" s="145">
        <v>1</v>
      </c>
      <c r="G28" s="146">
        <f>G20</f>
        <v>-0.101552532</v>
      </c>
      <c r="J28" s="221"/>
      <c r="K28" s="237" t="s">
        <v>107</v>
      </c>
      <c r="L28"/>
      <c r="M28"/>
      <c r="N28"/>
      <c r="O28"/>
      <c r="P28"/>
      <c r="Q28"/>
      <c r="R28"/>
      <c r="S28"/>
      <c r="T28"/>
      <c r="U28" s="91"/>
      <c r="V28" s="91"/>
    </row>
    <row r="29" spans="2:27" ht="18" customHeight="1" thickBot="1" x14ac:dyDescent="0.25">
      <c r="B29" s="126"/>
      <c r="C29" s="98"/>
      <c r="D29" s="147" t="str">
        <f>D21</f>
        <v>コスモ石油</v>
      </c>
      <c r="E29" s="128">
        <f>G27</f>
        <v>2.6707251000000001E-2</v>
      </c>
      <c r="F29" s="129">
        <f>G28</f>
        <v>-0.101552532</v>
      </c>
      <c r="G29" s="130">
        <v>1</v>
      </c>
      <c r="J29" s="91"/>
      <c r="K29" s="91"/>
      <c r="L29" s="91"/>
      <c r="M29" s="89"/>
      <c r="O29" s="91"/>
      <c r="P29" s="91"/>
      <c r="Q29" s="91"/>
      <c r="R29" s="91"/>
      <c r="S29" s="91"/>
      <c r="T29" s="91"/>
      <c r="U29" s="91"/>
      <c r="V29" s="91"/>
    </row>
    <row r="30" spans="2:27" ht="18" customHeight="1" thickBot="1" x14ac:dyDescent="0.25">
      <c r="B30" s="91"/>
      <c r="C30" s="91"/>
      <c r="D30" s="91"/>
      <c r="E30" s="91"/>
      <c r="F30" s="91"/>
      <c r="G30" s="91"/>
      <c r="J30" s="91"/>
      <c r="K30" s="92"/>
      <c r="L30" s="91"/>
      <c r="M30" s="221"/>
      <c r="O30" s="91"/>
      <c r="P30" s="224"/>
      <c r="Q30" s="224"/>
      <c r="R30" s="224"/>
      <c r="S30" s="224"/>
      <c r="T30" s="224"/>
      <c r="U30" s="91"/>
      <c r="V30" s="91"/>
    </row>
    <row r="31" spans="2:27" ht="18" customHeight="1" x14ac:dyDescent="0.2">
      <c r="B31" s="91"/>
      <c r="C31" s="91"/>
      <c r="D31" s="94"/>
      <c r="E31" s="131"/>
      <c r="F31" s="96" t="s">
        <v>19</v>
      </c>
      <c r="G31" s="97"/>
      <c r="J31" s="91"/>
      <c r="K31" s="91"/>
      <c r="L31" s="91"/>
      <c r="M31" s="91"/>
      <c r="O31" s="91"/>
      <c r="P31" s="91"/>
      <c r="Q31" s="225"/>
      <c r="R31" s="225"/>
      <c r="S31" s="225"/>
      <c r="T31" s="225"/>
      <c r="U31" s="225"/>
      <c r="V31" s="225"/>
      <c r="X31" s="75"/>
      <c r="Y31" s="75"/>
      <c r="Z31" s="75"/>
      <c r="AA31" s="75"/>
    </row>
    <row r="32" spans="2:27" ht="18" customHeight="1" thickBot="1" x14ac:dyDescent="0.25">
      <c r="B32" s="98"/>
      <c r="C32" s="98"/>
      <c r="D32" s="99"/>
      <c r="E32" s="132" t="str">
        <f>E16</f>
        <v>JR東日本</v>
      </c>
      <c r="F32" s="133" t="str">
        <f>F16</f>
        <v>川崎重工業</v>
      </c>
      <c r="G32" s="134" t="str">
        <f>G16</f>
        <v>コスモ石油</v>
      </c>
      <c r="J32" s="91"/>
      <c r="O32" s="91"/>
      <c r="P32" s="91"/>
      <c r="Q32" s="91"/>
      <c r="R32" s="91"/>
      <c r="S32" s="91"/>
      <c r="T32" s="91"/>
      <c r="U32" s="91"/>
      <c r="V32" s="91"/>
    </row>
    <row r="33" spans="2:22" ht="18" customHeight="1" x14ac:dyDescent="0.2">
      <c r="B33" s="103" t="s">
        <v>23</v>
      </c>
      <c r="C33" s="148"/>
      <c r="D33" s="105"/>
      <c r="E33" s="135">
        <v>0.21590000000000001</v>
      </c>
      <c r="F33" s="136">
        <v>0.38550000000000001</v>
      </c>
      <c r="G33" s="137">
        <v>9.4799999999999995E-2</v>
      </c>
      <c r="J33" s="91"/>
      <c r="O33" s="91"/>
      <c r="P33" s="91"/>
      <c r="Q33" s="91"/>
      <c r="R33" s="91"/>
      <c r="S33" s="91"/>
      <c r="T33" s="91"/>
      <c r="U33" s="91"/>
      <c r="V33" s="91"/>
    </row>
    <row r="34" spans="2:22" ht="18" customHeight="1" x14ac:dyDescent="0.2">
      <c r="B34" s="109" t="s">
        <v>24</v>
      </c>
      <c r="C34" s="149"/>
      <c r="D34" s="111"/>
      <c r="E34" s="138">
        <f t="shared" ref="E34:G37" si="0">E26</f>
        <v>0.24622636034645037</v>
      </c>
      <c r="F34" s="139">
        <f t="shared" si="0"/>
        <v>0.37054419269854133</v>
      </c>
      <c r="G34" s="140">
        <f t="shared" si="0"/>
        <v>0.33560716665838619</v>
      </c>
      <c r="J34" s="91"/>
      <c r="O34" s="91"/>
      <c r="P34" s="91"/>
      <c r="Q34" s="91"/>
      <c r="R34" s="91"/>
      <c r="S34" s="91"/>
      <c r="T34" s="91"/>
      <c r="U34" s="91"/>
      <c r="V34" s="91"/>
    </row>
    <row r="35" spans="2:22" ht="18" customHeight="1" x14ac:dyDescent="0.2">
      <c r="B35" s="115" t="s">
        <v>25</v>
      </c>
      <c r="C35" s="150"/>
      <c r="D35" s="141" t="str">
        <f>D19</f>
        <v>JR東日本</v>
      </c>
      <c r="E35" s="151">
        <f t="shared" si="0"/>
        <v>1</v>
      </c>
      <c r="F35" s="142">
        <f t="shared" si="0"/>
        <v>-1.2797892999999999E-2</v>
      </c>
      <c r="G35" s="143">
        <f t="shared" si="0"/>
        <v>2.6707251000000001E-2</v>
      </c>
      <c r="J35" s="91"/>
      <c r="K35" s="91"/>
      <c r="O35" s="91"/>
      <c r="P35" s="91"/>
      <c r="Q35" s="91"/>
      <c r="R35" s="91"/>
      <c r="S35" s="91"/>
      <c r="T35" s="91"/>
      <c r="U35" s="91"/>
      <c r="V35" s="91"/>
    </row>
    <row r="36" spans="2:22" ht="18" customHeight="1" x14ac:dyDescent="0.2">
      <c r="B36" s="121"/>
      <c r="C36" s="91"/>
      <c r="D36" s="144" t="str">
        <f>D20</f>
        <v>川崎重工業</v>
      </c>
      <c r="E36" s="152">
        <f t="shared" si="0"/>
        <v>-1.2797892999999999E-2</v>
      </c>
      <c r="F36" s="145">
        <f t="shared" si="0"/>
        <v>1</v>
      </c>
      <c r="G36" s="146">
        <f t="shared" si="0"/>
        <v>-0.101552532</v>
      </c>
      <c r="J36" s="91"/>
      <c r="K36" s="91"/>
      <c r="O36" s="91"/>
      <c r="P36" s="91"/>
      <c r="Q36" s="91"/>
      <c r="R36" s="91"/>
      <c r="S36" s="91"/>
      <c r="T36" s="91"/>
      <c r="U36" s="91"/>
      <c r="V36" s="91"/>
    </row>
    <row r="37" spans="2:22" ht="18" customHeight="1" thickBot="1" x14ac:dyDescent="0.25">
      <c r="B37" s="126"/>
      <c r="C37" s="98"/>
      <c r="D37" s="147" t="str">
        <f>D21</f>
        <v>コスモ石油</v>
      </c>
      <c r="E37" s="128">
        <f t="shared" si="0"/>
        <v>2.6707251000000001E-2</v>
      </c>
      <c r="F37" s="129">
        <f t="shared" si="0"/>
        <v>-0.101552532</v>
      </c>
      <c r="G37" s="130">
        <f t="shared" si="0"/>
        <v>1</v>
      </c>
      <c r="J37" s="91"/>
      <c r="K37" s="91"/>
      <c r="N37" s="91"/>
      <c r="O37" s="91"/>
      <c r="P37" s="91"/>
      <c r="Q37" s="91"/>
      <c r="R37" s="91"/>
      <c r="S37" s="91"/>
      <c r="T37" s="91"/>
      <c r="U37" s="91"/>
      <c r="V37" s="91"/>
    </row>
    <row r="38" spans="2:22" ht="18" customHeight="1" thickBot="1" x14ac:dyDescent="0.25">
      <c r="B38" s="91"/>
      <c r="C38" s="91"/>
      <c r="D38" s="91"/>
      <c r="E38" s="91"/>
      <c r="F38" s="91"/>
      <c r="G38" s="91"/>
      <c r="J38" s="91"/>
      <c r="K38" s="91"/>
      <c r="N38" s="91"/>
      <c r="O38" s="91"/>
      <c r="P38" s="91"/>
      <c r="Q38" s="91"/>
      <c r="R38" s="91"/>
      <c r="S38" s="91"/>
      <c r="T38" s="91"/>
      <c r="U38" s="91"/>
      <c r="V38" s="91"/>
    </row>
    <row r="39" spans="2:22" ht="18" customHeight="1" x14ac:dyDescent="0.2">
      <c r="B39" s="153"/>
      <c r="C39" s="154"/>
      <c r="D39" s="155"/>
      <c r="E39" s="131"/>
      <c r="F39" s="96" t="s">
        <v>19</v>
      </c>
      <c r="G39" s="97"/>
      <c r="J39" s="91"/>
      <c r="K39" s="91"/>
      <c r="N39" s="91"/>
      <c r="O39" s="91"/>
      <c r="P39" s="91"/>
      <c r="Q39" s="91"/>
      <c r="R39" s="91"/>
      <c r="S39" s="91"/>
      <c r="T39" s="91"/>
      <c r="U39" s="91"/>
      <c r="V39" s="91"/>
    </row>
    <row r="40" spans="2:22" ht="18" customHeight="1" thickBot="1" x14ac:dyDescent="0.25">
      <c r="B40" s="126"/>
      <c r="C40" s="98"/>
      <c r="D40" s="99"/>
      <c r="E40" s="132" t="str">
        <f>E16</f>
        <v>JR東日本</v>
      </c>
      <c r="F40" s="133" t="str">
        <f>F16</f>
        <v>川崎重工業</v>
      </c>
      <c r="G40" s="134" t="str">
        <f>G16</f>
        <v>コスモ石油</v>
      </c>
      <c r="J40" s="91"/>
      <c r="K40" s="91"/>
      <c r="N40" s="91"/>
      <c r="O40" s="91"/>
      <c r="P40" s="91"/>
      <c r="Q40" s="91"/>
      <c r="R40" s="91"/>
      <c r="S40" s="91"/>
      <c r="T40" s="91"/>
      <c r="U40" s="91"/>
      <c r="V40" s="91"/>
    </row>
    <row r="41" spans="2:22" ht="18" customHeight="1" x14ac:dyDescent="0.2">
      <c r="B41" s="115" t="s">
        <v>26</v>
      </c>
      <c r="C41" s="116"/>
      <c r="D41" s="141" t="str">
        <f>E40</f>
        <v>JR東日本</v>
      </c>
      <c r="E41" s="156">
        <f t="array" ref="E41:G43">TRANSPOSE(E34:G34)*E34:G34*E35:G37</f>
        <v>6.0627420529460026E-2</v>
      </c>
      <c r="F41" s="157">
        <v>-1.1676509353857891E-3</v>
      </c>
      <c r="G41" s="158">
        <v>2.2069625305573765E-3</v>
      </c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</row>
    <row r="42" spans="2:22" ht="18" customHeight="1" x14ac:dyDescent="0.2">
      <c r="B42" s="159" t="s">
        <v>27</v>
      </c>
      <c r="C42" s="93"/>
      <c r="D42" s="144" t="str">
        <f>F40</f>
        <v>川崎重工業</v>
      </c>
      <c r="E42" s="152">
        <v>-1.1676509353857891E-3</v>
      </c>
      <c r="F42" s="145">
        <v>0.13730299874261373</v>
      </c>
      <c r="G42" s="146">
        <v>-1.2628797330258987E-2</v>
      </c>
      <c r="J42" s="91"/>
      <c r="K42" s="91"/>
      <c r="M42" s="91"/>
      <c r="N42" s="91"/>
      <c r="O42" s="91"/>
      <c r="P42" s="91"/>
      <c r="Q42" s="91"/>
      <c r="R42" s="91"/>
      <c r="S42" s="91"/>
      <c r="T42" s="91"/>
      <c r="U42" s="91"/>
      <c r="V42" s="91"/>
    </row>
    <row r="43" spans="2:22" ht="18" customHeight="1" thickBot="1" x14ac:dyDescent="0.25">
      <c r="B43" s="126"/>
      <c r="C43" s="98"/>
      <c r="D43" s="147" t="str">
        <f>G40</f>
        <v>コスモ石油</v>
      </c>
      <c r="E43" s="128">
        <v>2.2069625305573765E-3</v>
      </c>
      <c r="F43" s="129">
        <v>-1.2628797330258987E-2</v>
      </c>
      <c r="G43" s="130">
        <v>0.1126321703124698</v>
      </c>
      <c r="J43" s="91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1"/>
    </row>
    <row r="44" spans="2:22" ht="18" customHeight="1" x14ac:dyDescent="0.2">
      <c r="B44" s="91"/>
      <c r="C44" s="91"/>
      <c r="D44" s="91"/>
      <c r="E44" s="91"/>
      <c r="F44" s="91"/>
      <c r="G44" s="91"/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1"/>
    </row>
    <row r="45" spans="2:22" ht="18" customHeight="1" x14ac:dyDescent="0.2">
      <c r="B45" s="213" t="s">
        <v>92</v>
      </c>
      <c r="C45" s="211"/>
      <c r="D45" s="93"/>
      <c r="E45" s="93"/>
      <c r="F45" s="93"/>
      <c r="G45" s="93"/>
      <c r="H45" s="83"/>
      <c r="I45" s="83"/>
      <c r="J45" s="83"/>
    </row>
    <row r="46" spans="2:22" ht="10.95" customHeight="1" x14ac:dyDescent="0.2">
      <c r="B46" s="210"/>
      <c r="C46" s="211"/>
      <c r="D46" s="93"/>
      <c r="E46" s="93"/>
      <c r="F46" s="93"/>
      <c r="G46" s="93"/>
      <c r="H46" s="83"/>
      <c r="I46" s="83"/>
      <c r="J46" s="83"/>
    </row>
    <row r="47" spans="2:22" ht="18" customHeight="1" x14ac:dyDescent="0.2">
      <c r="C47" s="210" t="s">
        <v>86</v>
      </c>
      <c r="D47" s="211"/>
      <c r="E47" s="93"/>
      <c r="F47" s="93"/>
      <c r="G47" s="93"/>
      <c r="H47" s="93"/>
      <c r="I47" s="83"/>
      <c r="J47" s="83"/>
    </row>
    <row r="48" spans="2:22" ht="18" customHeight="1" thickBot="1" x14ac:dyDescent="0.25">
      <c r="B48" s="91"/>
      <c r="C48" s="91"/>
      <c r="D48" s="91"/>
      <c r="E48" s="91"/>
      <c r="F48" s="160"/>
      <c r="G48" s="91"/>
    </row>
    <row r="49" spans="2:26" ht="18" customHeight="1" x14ac:dyDescent="0.2">
      <c r="B49" s="153"/>
      <c r="C49" s="184" t="s">
        <v>30</v>
      </c>
      <c r="D49" s="155"/>
      <c r="E49" s="187"/>
      <c r="F49" s="188" t="s">
        <v>28</v>
      </c>
      <c r="G49" s="189"/>
      <c r="H49" s="190" t="s">
        <v>74</v>
      </c>
    </row>
    <row r="50" spans="2:26" ht="18" customHeight="1" thickBot="1" x14ac:dyDescent="0.25">
      <c r="B50" s="126"/>
      <c r="C50" s="185"/>
      <c r="D50" s="98"/>
      <c r="E50" s="162" t="str">
        <f>E16</f>
        <v>JR東日本</v>
      </c>
      <c r="F50" s="163" t="str">
        <f>F16</f>
        <v>川崎重工業</v>
      </c>
      <c r="G50" s="164" t="str">
        <f>G16</f>
        <v>コスモ石油</v>
      </c>
      <c r="H50" s="84" t="s">
        <v>29</v>
      </c>
    </row>
    <row r="51" spans="2:26" ht="18" customHeight="1" thickBot="1" x14ac:dyDescent="0.25">
      <c r="B51" s="165"/>
      <c r="C51" s="186" t="s">
        <v>69</v>
      </c>
      <c r="D51" s="166"/>
      <c r="E51" s="230">
        <f t="array" ref="E51:G51">(1/リスク回避度推定!F11)*MMULT(E33:G33,MINVERSE(E41:G43))</f>
        <v>81.806665357801563</v>
      </c>
      <c r="F51" s="231">
        <v>67.212155570438256</v>
      </c>
      <c r="G51" s="232">
        <v>25.179145406864613</v>
      </c>
      <c r="H51" s="229">
        <f>100-SUM(E51:G51)</f>
        <v>-74.197966335104439</v>
      </c>
    </row>
    <row r="52" spans="2:26" ht="18" customHeight="1" x14ac:dyDescent="0.2">
      <c r="B52" s="91"/>
      <c r="C52" s="91"/>
      <c r="D52" s="91"/>
      <c r="E52" s="91"/>
      <c r="F52" s="91"/>
      <c r="G52" s="91"/>
      <c r="O52" s="92" t="s">
        <v>102</v>
      </c>
    </row>
    <row r="53" spans="2:26" ht="18" customHeight="1" x14ac:dyDescent="0.2">
      <c r="B53" s="91"/>
      <c r="C53" s="91"/>
      <c r="D53" s="91"/>
      <c r="E53" s="91"/>
      <c r="F53" s="91"/>
      <c r="G53" s="91"/>
      <c r="O53" s="233" t="s">
        <v>96</v>
      </c>
      <c r="P53" s="235"/>
      <c r="Q53" s="235"/>
      <c r="R53" s="235"/>
      <c r="S53" s="235"/>
      <c r="T53" s="235"/>
      <c r="U53" s="235"/>
      <c r="V53" s="235"/>
      <c r="W53" s="235"/>
      <c r="X53" s="235"/>
      <c r="Y53" s="235"/>
      <c r="Z53" s="235"/>
    </row>
    <row r="54" spans="2:26" ht="18" customHeight="1" x14ac:dyDescent="0.2">
      <c r="B54" s="91"/>
      <c r="C54" s="91"/>
      <c r="D54" s="91"/>
      <c r="E54" s="91"/>
      <c r="F54" s="91"/>
      <c r="G54" s="91"/>
      <c r="O54" s="233" t="s">
        <v>97</v>
      </c>
      <c r="P54" s="233"/>
      <c r="Q54" s="233"/>
      <c r="R54" s="233"/>
      <c r="S54" s="233"/>
      <c r="T54" s="233"/>
      <c r="U54" s="233"/>
      <c r="V54" s="233"/>
      <c r="W54" s="233"/>
      <c r="X54" s="233"/>
      <c r="Y54" s="233"/>
      <c r="Z54" s="233"/>
    </row>
    <row r="55" spans="2:26" ht="18" customHeight="1" x14ac:dyDescent="0.25">
      <c r="B55" s="91"/>
      <c r="C55" s="91"/>
      <c r="D55" s="91"/>
      <c r="E55" s="91"/>
      <c r="F55" s="91"/>
      <c r="G55" s="91"/>
      <c r="O55" s="233" t="s">
        <v>98</v>
      </c>
      <c r="P55" s="233"/>
      <c r="Q55" s="233"/>
      <c r="R55" s="233"/>
      <c r="S55" s="233"/>
      <c r="T55" s="233"/>
      <c r="U55" s="233"/>
      <c r="V55" s="233"/>
      <c r="W55" s="233"/>
      <c r="X55" s="233"/>
      <c r="Y55" s="233"/>
      <c r="Z55" s="233"/>
    </row>
    <row r="56" spans="2:26" ht="18" customHeight="1" x14ac:dyDescent="0.2">
      <c r="B56" s="91"/>
      <c r="C56" s="91"/>
      <c r="D56" s="91"/>
      <c r="E56" s="91"/>
      <c r="F56" s="91"/>
      <c r="G56" s="91"/>
      <c r="O56" s="233" t="s">
        <v>99</v>
      </c>
      <c r="P56" s="233"/>
      <c r="Q56" s="233"/>
      <c r="R56" s="233"/>
      <c r="S56" s="233"/>
      <c r="T56" s="233"/>
      <c r="U56" s="233"/>
      <c r="V56" s="233"/>
      <c r="W56" s="233"/>
      <c r="X56" s="233"/>
      <c r="Y56" s="233"/>
      <c r="Z56" s="233"/>
    </row>
    <row r="57" spans="2:26" ht="18" customHeight="1" x14ac:dyDescent="0.2">
      <c r="B57" s="213" t="s">
        <v>93</v>
      </c>
      <c r="C57" s="211"/>
      <c r="D57" s="91"/>
      <c r="E57" s="91"/>
      <c r="F57" s="91"/>
      <c r="G57" s="91"/>
      <c r="O57" s="233" t="s">
        <v>100</v>
      </c>
      <c r="P57" s="233"/>
      <c r="Q57" s="233"/>
      <c r="R57" s="233"/>
      <c r="S57" s="233"/>
      <c r="T57" s="233"/>
      <c r="U57" s="233"/>
      <c r="V57" s="233"/>
      <c r="W57" s="233"/>
      <c r="X57" s="233"/>
      <c r="Y57" s="233"/>
      <c r="Z57" s="233"/>
    </row>
    <row r="58" spans="2:26" ht="18" customHeight="1" x14ac:dyDescent="0.25">
      <c r="B58" s="91"/>
      <c r="C58" s="91"/>
      <c r="D58" s="91"/>
      <c r="E58" s="91"/>
      <c r="F58" s="91"/>
      <c r="G58" s="91"/>
      <c r="O58" s="233" t="s">
        <v>101</v>
      </c>
      <c r="P58" s="233"/>
      <c r="Q58" s="233"/>
      <c r="R58" s="233"/>
      <c r="S58" s="233"/>
      <c r="T58" s="233"/>
      <c r="U58" s="233"/>
      <c r="V58" s="233"/>
      <c r="W58" s="233"/>
      <c r="X58" s="233"/>
      <c r="Y58" s="233"/>
      <c r="Z58" s="233"/>
    </row>
    <row r="59" spans="2:26" ht="18" customHeight="1" x14ac:dyDescent="0.2">
      <c r="C59" s="210" t="s">
        <v>89</v>
      </c>
      <c r="D59" s="211"/>
      <c r="E59" s="93"/>
      <c r="F59" s="93"/>
      <c r="G59" s="93"/>
      <c r="H59" s="83"/>
      <c r="I59" s="83"/>
      <c r="J59" s="83"/>
    </row>
    <row r="60" spans="2:26" ht="18" customHeight="1" x14ac:dyDescent="0.2">
      <c r="C60" s="210" t="s">
        <v>37</v>
      </c>
      <c r="D60" s="211"/>
      <c r="E60" s="93"/>
      <c r="F60" s="93"/>
      <c r="G60" s="93"/>
      <c r="H60" s="83"/>
      <c r="I60" s="83"/>
      <c r="J60" s="83"/>
    </row>
    <row r="61" spans="2:26" ht="18" customHeight="1" x14ac:dyDescent="0.2">
      <c r="C61" s="210" t="s">
        <v>36</v>
      </c>
      <c r="D61" s="211"/>
      <c r="E61" s="93"/>
      <c r="F61" s="93"/>
      <c r="G61" s="93"/>
      <c r="H61" s="83"/>
      <c r="I61" s="83"/>
      <c r="J61" s="83"/>
    </row>
    <row r="62" spans="2:26" ht="18" customHeight="1" x14ac:dyDescent="0.2">
      <c r="G62" s="93"/>
      <c r="H62" s="83"/>
      <c r="I62" s="83"/>
      <c r="J62" s="83"/>
    </row>
    <row r="63" spans="2:26" ht="18" customHeight="1" thickBot="1" x14ac:dyDescent="0.25">
      <c r="B63" s="91"/>
      <c r="C63" s="91"/>
      <c r="D63" s="91"/>
      <c r="E63" s="91"/>
      <c r="F63" s="160"/>
      <c r="G63" s="91"/>
    </row>
    <row r="64" spans="2:26" ht="18" customHeight="1" x14ac:dyDescent="0.2">
      <c r="B64" s="153"/>
      <c r="C64" s="184" t="s">
        <v>31</v>
      </c>
      <c r="D64" s="191"/>
      <c r="E64" s="187"/>
      <c r="F64" s="188" t="s">
        <v>28</v>
      </c>
      <c r="G64" s="192"/>
      <c r="H64" s="190" t="s">
        <v>74</v>
      </c>
    </row>
    <row r="65" spans="2:33" ht="18" customHeight="1" thickBot="1" x14ac:dyDescent="0.25">
      <c r="B65" s="126"/>
      <c r="C65" s="161"/>
      <c r="D65" s="98"/>
      <c r="E65" s="167" t="str">
        <f>E16</f>
        <v>JR東日本</v>
      </c>
      <c r="F65" s="163" t="str">
        <f>F16</f>
        <v>川崎重工業</v>
      </c>
      <c r="G65" s="168" t="str">
        <f>G16</f>
        <v>コスモ石油</v>
      </c>
      <c r="H65" s="84" t="s">
        <v>29</v>
      </c>
    </row>
    <row r="66" spans="2:33" ht="18" customHeight="1" thickBot="1" x14ac:dyDescent="0.25">
      <c r="B66" s="169"/>
      <c r="C66" s="193" t="s">
        <v>32</v>
      </c>
      <c r="D66" s="170"/>
      <c r="E66" s="226">
        <v>46.312803904948971</v>
      </c>
      <c r="F66" s="227">
        <v>49.159740305348045</v>
      </c>
      <c r="G66" s="228">
        <v>4.5274557897029926</v>
      </c>
      <c r="H66" s="229">
        <f>100-SUM(E66:G66)</f>
        <v>0</v>
      </c>
    </row>
    <row r="67" spans="2:33" ht="18" customHeight="1" x14ac:dyDescent="0.2">
      <c r="B67" s="171"/>
      <c r="C67" s="188" t="s">
        <v>33</v>
      </c>
      <c r="D67" s="172"/>
      <c r="E67" s="173">
        <f>SUMPRODUCT(E33:G33,E66:G66)+100</f>
        <v>129.379217059654</v>
      </c>
      <c r="F67" s="174"/>
      <c r="G67" s="174"/>
      <c r="H67" s="76"/>
    </row>
    <row r="68" spans="2:33" ht="18" customHeight="1" thickBot="1" x14ac:dyDescent="0.25">
      <c r="B68" s="175"/>
      <c r="C68" s="194" t="s">
        <v>34</v>
      </c>
      <c r="D68" s="176"/>
      <c r="E68" s="177">
        <f t="array" ref="E68">MMULT(E66:G66,MMULT(E41:G43,TRANSPOSE(E66:G66)))</f>
        <v>454.15154642634042</v>
      </c>
      <c r="F68" s="174"/>
      <c r="G68" s="174"/>
      <c r="H68" s="76"/>
    </row>
    <row r="69" spans="2:33" ht="18" customHeight="1" thickBot="1" x14ac:dyDescent="0.25">
      <c r="B69" s="178"/>
      <c r="C69" s="195" t="s">
        <v>68</v>
      </c>
      <c r="D69" s="179"/>
      <c r="E69" s="180">
        <f>E67-0.5*リスク回避度推定!F11*E68</f>
        <v>119.44859426930719</v>
      </c>
      <c r="F69" s="174"/>
      <c r="G69" s="174"/>
      <c r="H69" s="76"/>
    </row>
    <row r="70" spans="2:33" ht="18" customHeight="1" x14ac:dyDescent="0.2">
      <c r="B70" s="91"/>
      <c r="C70" s="181"/>
      <c r="D70" s="91"/>
      <c r="E70" s="182"/>
      <c r="F70" s="174"/>
      <c r="G70" s="183" t="s">
        <v>70</v>
      </c>
      <c r="H70" s="85"/>
    </row>
    <row r="71" spans="2:33" ht="18" customHeight="1" x14ac:dyDescent="0.2">
      <c r="B71" s="91"/>
      <c r="C71" s="181"/>
      <c r="D71" s="91"/>
      <c r="E71" s="182"/>
      <c r="F71" s="174"/>
      <c r="G71" s="174"/>
      <c r="H71" s="76"/>
      <c r="K71" s="183" t="s">
        <v>87</v>
      </c>
    </row>
    <row r="72" spans="2:33" ht="18" customHeight="1" x14ac:dyDescent="0.2">
      <c r="B72" s="91"/>
      <c r="C72" s="91"/>
      <c r="D72" s="91"/>
      <c r="E72" s="91"/>
      <c r="F72" s="91"/>
      <c r="G72" s="91"/>
      <c r="I72" s="234" t="s">
        <v>103</v>
      </c>
      <c r="J72" s="236" t="s">
        <v>104</v>
      </c>
      <c r="K72" s="236"/>
    </row>
    <row r="73" spans="2:33" ht="28.95" customHeight="1" x14ac:dyDescent="0.2">
      <c r="B73" s="91"/>
      <c r="C73" s="212" t="s">
        <v>67</v>
      </c>
      <c r="D73" s="91"/>
      <c r="E73" s="91"/>
      <c r="F73" s="91"/>
      <c r="G73" s="91"/>
    </row>
    <row r="74" spans="2:33" ht="18" customHeight="1" x14ac:dyDescent="0.2">
      <c r="I74" s="196" t="s">
        <v>40</v>
      </c>
      <c r="J74" s="197" t="s">
        <v>41</v>
      </c>
      <c r="K74" s="198"/>
      <c r="L74" s="198"/>
      <c r="M74" s="198"/>
      <c r="N74" s="198"/>
      <c r="O74" s="198"/>
      <c r="P74" s="198"/>
      <c r="Q74" s="198"/>
      <c r="R74" s="199"/>
      <c r="S74" s="91"/>
      <c r="T74" s="197" t="s">
        <v>42</v>
      </c>
      <c r="U74" s="198"/>
      <c r="V74" s="199"/>
      <c r="W74" s="91"/>
      <c r="X74" s="197" t="s">
        <v>42</v>
      </c>
      <c r="Y74" s="198"/>
      <c r="Z74" s="199"/>
      <c r="AA74" s="200"/>
      <c r="AB74" s="77" t="s">
        <v>38</v>
      </c>
      <c r="AC74" s="77"/>
    </row>
    <row r="75" spans="2:33" ht="18" customHeight="1" x14ac:dyDescent="0.2">
      <c r="I75" s="201"/>
      <c r="J75" s="202" t="s">
        <v>49</v>
      </c>
      <c r="K75" s="202" t="s">
        <v>43</v>
      </c>
      <c r="L75" s="202" t="s">
        <v>45</v>
      </c>
      <c r="M75" s="202" t="s">
        <v>46</v>
      </c>
      <c r="N75" s="202" t="s">
        <v>47</v>
      </c>
      <c r="O75" s="203" t="str">
        <f>T75</f>
        <v>JR東日本</v>
      </c>
      <c r="P75" s="203" t="str">
        <f>U75</f>
        <v>川崎重工業</v>
      </c>
      <c r="Q75" s="203" t="str">
        <f>V75</f>
        <v>コスモ石油</v>
      </c>
      <c r="R75" s="202" t="s">
        <v>48</v>
      </c>
      <c r="S75" s="91"/>
      <c r="T75" s="203" t="str">
        <f>E50</f>
        <v>JR東日本</v>
      </c>
      <c r="U75" s="203" t="str">
        <f>F50</f>
        <v>川崎重工業</v>
      </c>
      <c r="V75" s="203" t="str">
        <f>G50</f>
        <v>コスモ石油</v>
      </c>
      <c r="W75" s="91"/>
      <c r="X75" s="203" t="str">
        <f>E50</f>
        <v>JR東日本</v>
      </c>
      <c r="Y75" s="203" t="str">
        <f>F50</f>
        <v>川崎重工業</v>
      </c>
      <c r="Z75" s="203" t="str">
        <f>G50</f>
        <v>コスモ石油</v>
      </c>
      <c r="AA75" s="200"/>
      <c r="AB75" s="77" t="s">
        <v>44</v>
      </c>
      <c r="AC75" s="77" t="s">
        <v>39</v>
      </c>
    </row>
    <row r="76" spans="2:33" ht="18" customHeight="1" x14ac:dyDescent="0.2">
      <c r="I76" s="204">
        <f t="array" ref="I76">MMULT(MMULT(T76:V76,$E$41:$G$43),TRANSPOSE(T76:V76))^0.5</f>
        <v>28.835159868998428</v>
      </c>
      <c r="J76" s="205">
        <f>MIN(E33:G33)</f>
        <v>9.4799999999999995E-2</v>
      </c>
      <c r="K76" s="204"/>
      <c r="L76" s="204"/>
      <c r="M76" s="204"/>
      <c r="N76" s="204"/>
      <c r="O76" s="204"/>
      <c r="P76" s="204"/>
      <c r="Q76" s="204"/>
      <c r="R76" s="204"/>
      <c r="S76" s="91"/>
      <c r="T76" s="204">
        <f t="array" ref="T76:V76">0.5*MMULT((AC76*$E$33:$G$33+AB76*{1,1,1}),MINVERSE($E$41:$G$43))*100</f>
        <v>50.624220969533994</v>
      </c>
      <c r="U76" s="204">
        <v>-21.089071755798322</v>
      </c>
      <c r="V76" s="204">
        <v>70.464850786264293</v>
      </c>
      <c r="W76" s="91"/>
      <c r="X76" s="204">
        <f t="array" ref="X76:Z76">0.5*(J76/AE76)*MMULT($E$33:$G$33,MINVERSE($E$41:$G$43))*100</f>
        <v>16.874206417065569</v>
      </c>
      <c r="Y76" s="204">
        <v>13.863806596577517</v>
      </c>
      <c r="Z76" s="204">
        <v>5.1936855651362031</v>
      </c>
      <c r="AA76" s="91"/>
      <c r="AB76" s="1">
        <f t="shared" ref="AB76:AB81" si="1">(AF76*J76-AE76)/(AF76*AF76-AE76*AG76)</f>
        <v>0.24559823368184339</v>
      </c>
      <c r="AC76" s="1">
        <f t="shared" ref="AC76:AC81" si="2">(AG76*J76-AF76)/(-AF76*AF76+AE76*AG76)</f>
        <v>-0.83655005008126404</v>
      </c>
      <c r="AE76" s="1">
        <f t="array" ref="AE76">0.5*MMULT(MMULT($E$33:$G$33,MINVERSE($E$41:$G$43)),TRANSPOSE($E$33:$G$33))</f>
        <v>1.004961347668897</v>
      </c>
      <c r="AF76" s="1">
        <f t="array" ref="AF76">0.5*MMULT(MMULT({1,1,1},MINVERSE($E$41:$G$43)),TRANSPOSE($E$33:$G$33))</f>
        <v>3.8090683784559731</v>
      </c>
      <c r="AG76" s="1">
        <f t="array" ref="AG76">0.5*MMULT(MMULT({1,1,1},MINVERSE($E$41:$G$43)),TRANSPOSE({1,1,1}))</f>
        <v>17.046036040241283</v>
      </c>
    </row>
    <row r="77" spans="2:33" ht="18" customHeight="1" x14ac:dyDescent="0.2">
      <c r="I77" s="204">
        <f t="array" ref="I77">MMULT(MMULT(T77:V77,$E$41:$G$43),TRANSPOSE(T77:V77))^0.5</f>
        <v>18.885639975582265</v>
      </c>
      <c r="J77" s="205">
        <f>(J76+J78)/2</f>
        <v>0.1793169476390791</v>
      </c>
      <c r="K77" s="204"/>
      <c r="L77" s="204"/>
      <c r="M77" s="204"/>
      <c r="N77" s="204"/>
      <c r="O77" s="204"/>
      <c r="P77" s="204"/>
      <c r="Q77" s="204"/>
      <c r="R77" s="204"/>
      <c r="S77" s="91"/>
      <c r="T77" s="204">
        <f t="array" ref="T77:V77">0.5*MMULT((AC77*$E$33:$G$33+AB77*{1,1,1}),MINVERSE($E$41:$G$43))*100</f>
        <v>48.793057788259098</v>
      </c>
      <c r="U77" s="204">
        <v>8.7473528233564917</v>
      </c>
      <c r="V77" s="204">
        <v>42.459589388384408</v>
      </c>
      <c r="W77" s="91"/>
      <c r="X77" s="204">
        <f t="array" ref="X77:Z77">0.5*(J77/AE77)*MMULT($E$33:$G$33,MINVERSE($E$41:$G$43))*100</f>
        <v>31.918050512024887</v>
      </c>
      <c r="Y77" s="204">
        <v>26.223791999544403</v>
      </c>
      <c r="Z77" s="204">
        <v>9.8240067778203546</v>
      </c>
      <c r="AA77" s="91"/>
      <c r="AB77" s="1">
        <f t="shared" si="1"/>
        <v>0.12279911684092169</v>
      </c>
      <c r="AC77" s="1">
        <f t="shared" si="2"/>
        <v>-0.28700933214102647</v>
      </c>
      <c r="AE77" s="1">
        <f t="array" ref="AE77">0.5*MMULT(MMULT($E$33:$G$33,MINVERSE($E$41:$G$43)),TRANSPOSE($E$33:$G$33))</f>
        <v>1.004961347668897</v>
      </c>
      <c r="AF77" s="1">
        <f t="array" ref="AF77">0.5*MMULT(MMULT({1,1,1},MINVERSE($E$41:$G$43)),TRANSPOSE($E$33:$G$33))</f>
        <v>3.8090683784559731</v>
      </c>
      <c r="AG77" s="1">
        <f t="array" ref="AG77">0.5*MMULT(MMULT({1,1,1},MINVERSE($E$41:$G$43)),TRANSPOSE({1,1,1}))</f>
        <v>17.046036040241283</v>
      </c>
    </row>
    <row r="78" spans="2:33" ht="18" customHeight="1" x14ac:dyDescent="0.2">
      <c r="I78" s="204">
        <f t="array" ref="I78">MMULT(MMULT(T78:V78,$E$41:$G$43),TRANSPOSE(T78:V78))^0.5</f>
        <v>18.609766004463737</v>
      </c>
      <c r="J78" s="205">
        <f>L84</f>
        <v>0.2638338952781582</v>
      </c>
      <c r="K78" s="204"/>
      <c r="L78" s="204"/>
      <c r="M78" s="204"/>
      <c r="N78" s="204"/>
      <c r="O78" s="204"/>
      <c r="P78" s="204"/>
      <c r="Q78" s="204"/>
      <c r="R78" s="204"/>
      <c r="S78" s="91"/>
      <c r="T78" s="204">
        <f t="array" ref="T78:V78">0.5*MMULT((AC78*$E$33:$G$33+AB78*{1,1,1}),MINVERSE($E$41:$G$43))*100</f>
        <v>46.961894606984217</v>
      </c>
      <c r="U78" s="204">
        <v>38.583777402511309</v>
      </c>
      <c r="V78" s="204">
        <v>14.454327990504511</v>
      </c>
      <c r="W78" s="91"/>
      <c r="X78" s="204">
        <f t="array" ref="X78:Z78">0.5*(J78/AE78)*MMULT($E$33:$G$33,MINVERSE($E$41:$G$43))*100</f>
        <v>46.961894606984202</v>
      </c>
      <c r="Y78" s="204">
        <v>38.583777402511302</v>
      </c>
      <c r="Z78" s="204">
        <v>14.454327990504504</v>
      </c>
      <c r="AA78" s="91"/>
      <c r="AB78" s="1">
        <f t="shared" si="1"/>
        <v>0</v>
      </c>
      <c r="AC78" s="1">
        <f t="shared" si="2"/>
        <v>0.26253138579921109</v>
      </c>
      <c r="AE78" s="1">
        <f t="array" ref="AE78">0.5*MMULT(MMULT($E$33:$G$33,MINVERSE($E$41:$G$43)),TRANSPOSE($E$33:$G$33))</f>
        <v>1.004961347668897</v>
      </c>
      <c r="AF78" s="1">
        <f t="array" ref="AF78">0.5*MMULT(MMULT({1,1,1},MINVERSE($E$41:$G$43)),TRANSPOSE($E$33:$G$33))</f>
        <v>3.8090683784559731</v>
      </c>
      <c r="AG78" s="1">
        <f t="array" ref="AG78">0.5*MMULT(MMULT({1,1,1},MINVERSE($E$41:$G$43)),TRANSPOSE({1,1,1}))</f>
        <v>17.046036040241283</v>
      </c>
    </row>
    <row r="79" spans="2:33" ht="18" customHeight="1" x14ac:dyDescent="0.2">
      <c r="I79" s="204">
        <f t="array" ref="I79">MMULT(MMULT(T79:V79,$E$41:$G$43),TRANSPOSE(T79:V79))^0.5</f>
        <v>25.364621155860821</v>
      </c>
      <c r="J79" s="205">
        <f>(J78*3+J81)/4</f>
        <v>0.32722160600746752</v>
      </c>
      <c r="K79" s="204"/>
      <c r="L79" s="204"/>
      <c r="M79" s="204"/>
      <c r="N79" s="204"/>
      <c r="O79" s="204"/>
      <c r="P79" s="204"/>
      <c r="Q79" s="204"/>
      <c r="R79" s="204"/>
      <c r="S79" s="91"/>
      <c r="T79" s="204">
        <f t="array" ref="T79:V79">0.5*MMULT((AC79*$E$33:$G$33+AB79*{1,1,1}),MINVERSE($E$41:$G$43))*100</f>
        <v>45.588522221027986</v>
      </c>
      <c r="U79" s="204">
        <v>60.961095836877391</v>
      </c>
      <c r="V79" s="204">
        <v>-6.5496180579054295</v>
      </c>
      <c r="W79" s="91"/>
      <c r="X79" s="204">
        <f t="array" ref="X79:Z79">0.5*(J79/AE79)*MMULT($E$33:$G$33,MINVERSE($E$41:$G$43))*100</f>
        <v>58.244777678203683</v>
      </c>
      <c r="Y79" s="204">
        <v>47.853766454736466</v>
      </c>
      <c r="Z79" s="204">
        <v>17.927068900017616</v>
      </c>
      <c r="AA79" s="91"/>
      <c r="AB79" s="1">
        <f t="shared" si="1"/>
        <v>-9.2099337630691294E-2</v>
      </c>
      <c r="AC79" s="1">
        <f t="shared" si="2"/>
        <v>0.67468692425438903</v>
      </c>
      <c r="AE79" s="1">
        <f t="array" ref="AE79">0.5*MMULT(MMULT($E$33:$G$33,MINVERSE($E$41:$G$43)),TRANSPOSE($E$33:$G$33))</f>
        <v>1.004961347668897</v>
      </c>
      <c r="AF79" s="1">
        <f t="array" ref="AF79">0.5*MMULT(MMULT({1,1,1},MINVERSE($E$41:$G$43)),TRANSPOSE($E$33:$G$33))</f>
        <v>3.8090683784559731</v>
      </c>
      <c r="AG79" s="1">
        <f t="array" ref="AG79">0.5*MMULT(MMULT({1,1,1},MINVERSE($E$41:$G$43)),TRANSPOSE({1,1,1}))</f>
        <v>17.046036040241283</v>
      </c>
    </row>
    <row r="80" spans="2:33" ht="18" customHeight="1" x14ac:dyDescent="0.2">
      <c r="I80" s="204">
        <f t="array" ref="I80">MMULT(MMULT(T80:V80,$E$41:$G$43),TRANSPOSE(T80:V80))^0.5</f>
        <v>41.460830914960809</v>
      </c>
      <c r="J80" s="205">
        <f>(J78+J81*2)/3</f>
        <v>0.43286779055631647</v>
      </c>
      <c r="K80" s="204"/>
      <c r="L80" s="204"/>
      <c r="M80" s="204"/>
      <c r="N80" s="204"/>
      <c r="O80" s="204"/>
      <c r="P80" s="204"/>
      <c r="Q80" s="204"/>
      <c r="R80" s="204"/>
      <c r="S80" s="91"/>
      <c r="T80" s="204">
        <f t="array" ref="T80:V80">0.5*MMULT((AC80*$E$33:$G$33+AB80*{1,1,1}),MINVERSE($E$41:$G$43))*100</f>
        <v>43.299568244434326</v>
      </c>
      <c r="U80" s="204">
        <v>98.256626560820919</v>
      </c>
      <c r="V80" s="204">
        <v>-41.556194805255345</v>
      </c>
      <c r="W80" s="91"/>
      <c r="X80" s="204">
        <f t="array" ref="X80:Z80">0.5*(J80/AE80)*MMULT($E$33:$G$33,MINVERSE($E$41:$G$43))*100</f>
        <v>77.049582796902854</v>
      </c>
      <c r="Y80" s="204">
        <v>63.3037482084451</v>
      </c>
      <c r="Z80" s="204">
        <v>23.714970415872809</v>
      </c>
      <c r="AA80" s="91"/>
      <c r="AB80" s="1">
        <f t="shared" si="1"/>
        <v>-0.24559823368184355</v>
      </c>
      <c r="AC80" s="1">
        <f t="shared" si="2"/>
        <v>1.3616128216796863</v>
      </c>
      <c r="AE80" s="1">
        <f t="array" ref="AE80">0.5*MMULT(MMULT($E$33:$G$33,MINVERSE($E$41:$G$43)),TRANSPOSE($E$33:$G$33))</f>
        <v>1.004961347668897</v>
      </c>
      <c r="AF80" s="1">
        <f t="array" ref="AF80">0.5*MMULT(MMULT({1,1,1},MINVERSE($E$41:$G$43)),TRANSPOSE($E$33:$G$33))</f>
        <v>3.8090683784559731</v>
      </c>
      <c r="AG80" s="1">
        <f t="array" ref="AG80">0.5*MMULT(MMULT({1,1,1},MINVERSE($E$41:$G$43)),TRANSPOSE({1,1,1}))</f>
        <v>17.046036040241283</v>
      </c>
    </row>
    <row r="81" spans="9:33" ht="18" customHeight="1" x14ac:dyDescent="0.2">
      <c r="I81" s="204">
        <f t="array" ref="I81">MMULT(MMULT(T81:V81,$E$41:$G$43),TRANSPOSE(T81:V81))^0.5</f>
        <v>55.695795318169772</v>
      </c>
      <c r="J81" s="206">
        <f>J78*2.5-J76*1.5</f>
        <v>0.51738473819539554</v>
      </c>
      <c r="K81" s="204"/>
      <c r="L81" s="204"/>
      <c r="M81" s="204"/>
      <c r="N81" s="204"/>
      <c r="O81" s="204"/>
      <c r="P81" s="204"/>
      <c r="Q81" s="204"/>
      <c r="R81" s="204"/>
      <c r="S81" s="91"/>
      <c r="T81" s="204">
        <f t="array" ref="T81:V81">0.5*MMULT((AC81*$E$33:$G$33+AB81*{1,1,1}),MINVERSE($E$41:$G$43))*100</f>
        <v>41.468405063159395</v>
      </c>
      <c r="U81" s="204">
        <v>128.0930511399757</v>
      </c>
      <c r="V81" s="204">
        <v>-69.561456203135251</v>
      </c>
      <c r="W81" s="91"/>
      <c r="X81" s="204">
        <f t="array" ref="X81:Z81">0.5*(J81/AE81)*MMULT($E$33:$G$33,MINVERSE($E$41:$G$43))*100</f>
        <v>92.093426891862151</v>
      </c>
      <c r="Y81" s="204">
        <v>75.663733611411971</v>
      </c>
      <c r="Z81" s="204">
        <v>28.345291628556957</v>
      </c>
      <c r="AA81" s="91"/>
      <c r="AB81" s="1">
        <f t="shared" si="1"/>
        <v>-0.36839735052276523</v>
      </c>
      <c r="AC81" s="1">
        <f t="shared" si="2"/>
        <v>1.9111535396199235</v>
      </c>
      <c r="AE81" s="1">
        <f t="array" ref="AE81">0.5*MMULT(MMULT($E$33:$G$33,MINVERSE($E$41:$G$43)),TRANSPOSE($E$33:$G$33))</f>
        <v>1.004961347668897</v>
      </c>
      <c r="AF81" s="1">
        <f t="array" ref="AF81">0.5*MMULT(MMULT({1,1,1},MINVERSE($E$41:$G$43)),TRANSPOSE($E$33:$G$33))</f>
        <v>3.8090683784559731</v>
      </c>
      <c r="AG81" s="1">
        <f t="array" ref="AG81">0.5*MMULT(MMULT({1,1,1},MINVERSE($E$41:$G$43)),TRANSPOSE({1,1,1}))</f>
        <v>17.046036040241283</v>
      </c>
    </row>
    <row r="82" spans="9:33" ht="18" customHeight="1" x14ac:dyDescent="0.2">
      <c r="I82" s="204">
        <f t="array" ref="I82">MMULT(MMULT(X82:Z82,$E$41:$G$43),TRANSPOSE(X82:Z82))^0.5</f>
        <v>0</v>
      </c>
      <c r="J82" s="204"/>
      <c r="K82" s="205">
        <v>0</v>
      </c>
      <c r="L82" s="205"/>
      <c r="M82" s="205"/>
      <c r="N82" s="205"/>
      <c r="O82" s="205"/>
      <c r="P82" s="205"/>
      <c r="Q82" s="205"/>
      <c r="R82" s="204"/>
      <c r="S82" s="91"/>
      <c r="T82" s="204"/>
      <c r="U82" s="204"/>
      <c r="V82" s="204"/>
      <c r="W82" s="91"/>
      <c r="X82" s="204">
        <f t="array" ref="X82:Z82">0.5*(K82/AE82)*MMULT($E$33:$G$33,MINVERSE($E$41:$G$43))*100</f>
        <v>0</v>
      </c>
      <c r="Y82" s="204">
        <v>0</v>
      </c>
      <c r="Z82" s="204">
        <v>0</v>
      </c>
      <c r="AA82" s="91"/>
      <c r="AB82" s="1">
        <f>(AF82*K82-AE82)/(AF82*AF82-AE82*AG82)</f>
        <v>0.38333813794616428</v>
      </c>
      <c r="AC82" s="1">
        <f>(AG82*K82-AF82)/(-AF82*AF82+AE82*AG82)</f>
        <v>-1.4529525766278577</v>
      </c>
      <c r="AE82" s="1">
        <f t="array" ref="AE82">0.5*MMULT(MMULT($E$33:$G$33,MINVERSE($E$41:$G$43)),TRANSPOSE($E$33:$G$33))</f>
        <v>1.004961347668897</v>
      </c>
      <c r="AF82" s="1">
        <f t="array" ref="AF82">0.5*MMULT(MMULT({1,1,1},MINVERSE($E$41:$G$43)),TRANSPOSE($E$33:$G$33))</f>
        <v>3.8090683784559731</v>
      </c>
      <c r="AG82" s="1">
        <f t="array" ref="AG82">0.5*MMULT(MMULT({1,1,1},MINVERSE($E$41:$G$43)),TRANSPOSE({1,1,1}))</f>
        <v>17.046036040241283</v>
      </c>
    </row>
    <row r="83" spans="9:33" ht="18" customHeight="1" x14ac:dyDescent="0.2">
      <c r="I83" s="204">
        <f t="array" ref="I83">MMULT(MMULT(X83:Z83,$E$41:$G$43),TRANSPOSE(X83:Z83))^0.5</f>
        <v>54.137782645560705</v>
      </c>
      <c r="J83" s="204"/>
      <c r="K83" s="205">
        <f>MAX(J81+0.01,(R94+R95)/2)</f>
        <v>0.76752077772899185</v>
      </c>
      <c r="L83" s="205"/>
      <c r="M83" s="205"/>
      <c r="N83" s="205"/>
      <c r="O83" s="205"/>
      <c r="P83" s="205"/>
      <c r="Q83" s="205"/>
      <c r="R83" s="204"/>
      <c r="S83" s="91"/>
      <c r="T83" s="204"/>
      <c r="U83" s="204"/>
      <c r="V83" s="204"/>
      <c r="W83" s="91"/>
      <c r="X83" s="204">
        <f t="array" ref="X83:Z83">0.5*(K83/AE83)*MMULT($E$33:$G$33,MINVERSE($E$41:$G$43))*100</f>
        <v>136.61713114752857</v>
      </c>
      <c r="Y83" s="204">
        <v>112.24429980263186</v>
      </c>
      <c r="Z83" s="204">
        <v>42.049172829463892</v>
      </c>
      <c r="AA83" s="91"/>
      <c r="AB83" s="1">
        <f>(AF83*K83-AE83)/(AF83*AF83-AE83*AG83)</f>
        <v>-0.73183315367059154</v>
      </c>
      <c r="AC83" s="1">
        <f>(AG83*K83-AF83)/(-AF83*AF83+AE83*AG83)</f>
        <v>3.5375721762113512</v>
      </c>
      <c r="AE83" s="1">
        <f t="array" ref="AE83">0.5*MMULT(MMULT($E$33:$G$33,MINVERSE($E$41:$G$43)),TRANSPOSE($E$33:$G$33))</f>
        <v>1.004961347668897</v>
      </c>
      <c r="AF83" s="1">
        <f t="array" ref="AF83">0.5*MMULT(MMULT({1,1,1},MINVERSE($E$41:$G$43)),TRANSPOSE($E$33:$G$33))</f>
        <v>3.8090683784559731</v>
      </c>
      <c r="AG83" s="1">
        <f t="array" ref="AG83">0.5*MMULT(MMULT({1,1,1},MINVERSE($E$41:$G$43)),TRANSPOSE({1,1,1}))</f>
        <v>17.046036040241283</v>
      </c>
    </row>
    <row r="84" spans="9:33" ht="18" customHeight="1" x14ac:dyDescent="0.2">
      <c r="I84" s="204">
        <f t="array" ref="I84">MMULT(MMULT(T84:V84,$E$41:$G$43),TRANSPOSE(T84:V84))^0.5</f>
        <v>18.609766004463729</v>
      </c>
      <c r="J84" s="204"/>
      <c r="K84" s="205"/>
      <c r="L84" s="205">
        <f>SUMPRODUCT(T84:V84,E33:G33)/100</f>
        <v>0.2638338952781582</v>
      </c>
      <c r="M84" s="205"/>
      <c r="N84" s="205"/>
      <c r="O84" s="205"/>
      <c r="P84" s="205"/>
      <c r="Q84" s="205"/>
      <c r="R84" s="207"/>
      <c r="S84" s="91"/>
      <c r="T84" s="204">
        <f>X76/SUM($X$76:$Z$76)*100</f>
        <v>46.961894606984195</v>
      </c>
      <c r="U84" s="204">
        <f>Y76/SUM($X$76:$Z$76)*100</f>
        <v>38.583777402511302</v>
      </c>
      <c r="V84" s="204">
        <f>Z76/SUM($X$76:$Z$76)*100</f>
        <v>14.454327990504501</v>
      </c>
      <c r="W84" s="91"/>
      <c r="X84" s="208"/>
      <c r="Y84" s="208"/>
      <c r="Z84" s="208"/>
      <c r="AA84" s="91"/>
      <c r="AB84" s="1">
        <f>(AF84*J84-AE84)/(AF84*AF84-AE84*AG84)</f>
        <v>0.38333813794616428</v>
      </c>
      <c r="AC84" s="1">
        <f>(AG84*J84-AF84)/(-AF84*AF84+AE84*AG84)</f>
        <v>-1.4529525766278577</v>
      </c>
      <c r="AE84" s="1">
        <f t="array" ref="AE84">0.5*MMULT(MMULT($E$33:$G$33,MINVERSE($E$41:$G$43)),TRANSPOSE($E$33:$G$33))</f>
        <v>1.004961347668897</v>
      </c>
      <c r="AF84" s="1">
        <f t="array" ref="AF84">0.5*MMULT(MMULT({1,1,1},MINVERSE($E$41:$G$43)),TRANSPOSE($E$33:$G$33))</f>
        <v>3.8090683784559731</v>
      </c>
      <c r="AG84" s="1">
        <f t="array" ref="AG84">0.5*MMULT(MMULT({1,1,1},MINVERSE($E$41:$G$43)),TRANSPOSE({1,1,1}))</f>
        <v>17.046036040241283</v>
      </c>
    </row>
    <row r="85" spans="9:33" ht="18" customHeight="1" x14ac:dyDescent="0.2">
      <c r="I85" s="204">
        <f t="array" ref="I85">MMULT(MMULT(E51:G51,$E$41:$G$43),TRANSPOSE(E51:G51))^0.5</f>
        <v>32.417833919497433</v>
      </c>
      <c r="J85" s="204"/>
      <c r="K85" s="205"/>
      <c r="L85" s="205"/>
      <c r="M85" s="205">
        <f>SUMPRODUCT(E51:G51,E33:G33)/100</f>
        <v>0.45959328007724065</v>
      </c>
      <c r="N85" s="205"/>
      <c r="O85" s="205"/>
      <c r="P85" s="205"/>
      <c r="Q85" s="205"/>
      <c r="R85" s="207"/>
      <c r="S85" s="91"/>
      <c r="T85" s="204"/>
      <c r="U85" s="204"/>
      <c r="V85" s="204"/>
      <c r="W85" s="91"/>
      <c r="X85" s="208"/>
      <c r="Y85" s="208"/>
      <c r="Z85" s="208"/>
      <c r="AA85" s="91"/>
    </row>
    <row r="86" spans="9:33" ht="18" customHeight="1" x14ac:dyDescent="0.2">
      <c r="I86" s="204">
        <f>E68^0.5</f>
        <v>21.310831669044276</v>
      </c>
      <c r="J86" s="204"/>
      <c r="K86" s="205"/>
      <c r="L86" s="205"/>
      <c r="M86" s="205"/>
      <c r="N86" s="205">
        <f>(E67-100)/100</f>
        <v>0.29379217059653995</v>
      </c>
      <c r="O86" s="205"/>
      <c r="P86" s="205"/>
      <c r="Q86" s="205"/>
      <c r="R86" s="207"/>
      <c r="S86" s="91"/>
      <c r="T86" s="204"/>
      <c r="U86" s="204"/>
      <c r="V86" s="204"/>
      <c r="W86" s="91"/>
      <c r="X86" s="208"/>
      <c r="Y86" s="208"/>
      <c r="Z86" s="208"/>
      <c r="AA86" s="91"/>
    </row>
    <row r="87" spans="9:33" ht="18" customHeight="1" x14ac:dyDescent="0.2">
      <c r="I87" s="204">
        <f t="array" ref="I87:I89">TRANSPOSE(E34:G34)*100</f>
        <v>24.622636034645037</v>
      </c>
      <c r="J87" s="204"/>
      <c r="K87" s="205"/>
      <c r="L87" s="205"/>
      <c r="M87" s="205"/>
      <c r="N87" s="205"/>
      <c r="O87" s="205">
        <f>E33</f>
        <v>0.21590000000000001</v>
      </c>
      <c r="P87" s="205"/>
      <c r="Q87" s="205"/>
      <c r="R87" s="204"/>
      <c r="S87" s="91"/>
      <c r="T87" s="204"/>
      <c r="U87" s="204"/>
      <c r="V87" s="204"/>
      <c r="W87" s="91"/>
      <c r="X87" s="204"/>
      <c r="Y87" s="204"/>
      <c r="Z87" s="204"/>
      <c r="AA87" s="91"/>
    </row>
    <row r="88" spans="9:33" ht="18" customHeight="1" x14ac:dyDescent="0.2">
      <c r="I88" s="204">
        <v>37.054419269854137</v>
      </c>
      <c r="J88" s="204"/>
      <c r="K88" s="205"/>
      <c r="L88" s="205"/>
      <c r="M88" s="205"/>
      <c r="N88" s="205"/>
      <c r="O88" s="205"/>
      <c r="P88" s="205">
        <f>F33</f>
        <v>0.38550000000000001</v>
      </c>
      <c r="Q88" s="205"/>
      <c r="R88" s="204"/>
      <c r="S88" s="91"/>
      <c r="T88" s="204"/>
      <c r="U88" s="204"/>
      <c r="V88" s="204"/>
      <c r="W88" s="91"/>
      <c r="X88" s="208"/>
      <c r="Y88" s="208"/>
      <c r="Z88" s="208"/>
      <c r="AA88" s="91"/>
    </row>
    <row r="89" spans="9:33" ht="18" customHeight="1" x14ac:dyDescent="0.2">
      <c r="I89" s="204">
        <v>33.560716665838619</v>
      </c>
      <c r="J89" s="204"/>
      <c r="K89" s="205"/>
      <c r="L89" s="205"/>
      <c r="M89" s="205"/>
      <c r="N89" s="205"/>
      <c r="O89" s="205"/>
      <c r="P89" s="205"/>
      <c r="Q89" s="205">
        <f>G33</f>
        <v>9.4799999999999995E-2</v>
      </c>
      <c r="R89" s="209"/>
      <c r="S89" s="91"/>
      <c r="T89" s="204"/>
      <c r="U89" s="204"/>
      <c r="V89" s="204"/>
      <c r="W89" s="91"/>
      <c r="X89" s="208"/>
      <c r="Y89" s="208"/>
      <c r="Z89" s="208"/>
      <c r="AA89" s="91"/>
    </row>
    <row r="90" spans="9:33" ht="18" customHeight="1" x14ac:dyDescent="0.2">
      <c r="I90" s="204">
        <v>0</v>
      </c>
      <c r="J90" s="204"/>
      <c r="K90" s="205"/>
      <c r="L90" s="205"/>
      <c r="M90" s="205"/>
      <c r="N90" s="205"/>
      <c r="O90" s="205"/>
      <c r="P90" s="205"/>
      <c r="Q90" s="205"/>
      <c r="R90" s="207">
        <f>-(0.5/100)*リスク回避度推定!F11*(I93^2)+R93+(0.5/100)*リスク回避度推定!F11*(I90^2)</f>
        <v>0.22979664003862035</v>
      </c>
      <c r="S90" s="91"/>
      <c r="T90" s="91"/>
      <c r="U90" s="91"/>
      <c r="V90" s="91"/>
      <c r="W90" s="91"/>
      <c r="X90" s="91"/>
      <c r="Y90" s="91"/>
      <c r="Z90" s="91"/>
      <c r="AA90" s="91"/>
    </row>
    <row r="91" spans="9:33" ht="18" customHeight="1" x14ac:dyDescent="0.2">
      <c r="I91" s="204">
        <f>I93/3</f>
        <v>10.805944639832477</v>
      </c>
      <c r="J91" s="204"/>
      <c r="K91" s="205"/>
      <c r="L91" s="205"/>
      <c r="M91" s="205"/>
      <c r="N91" s="205"/>
      <c r="O91" s="205"/>
      <c r="P91" s="205"/>
      <c r="Q91" s="205"/>
      <c r="R91" s="207">
        <f>-(0.5/100)*リスク回避度推定!F11*(I93^2)+R93+(0.5/100)*リスク回避度推定!F11*(I91^2)</f>
        <v>0.2553296000429115</v>
      </c>
      <c r="S91" s="91"/>
      <c r="T91" s="91"/>
      <c r="U91" s="91"/>
      <c r="V91" s="91"/>
      <c r="W91" s="91"/>
      <c r="X91" s="91"/>
      <c r="Y91" s="91"/>
      <c r="Z91" s="91"/>
      <c r="AA91" s="91"/>
    </row>
    <row r="92" spans="9:33" ht="18" customHeight="1" x14ac:dyDescent="0.2">
      <c r="I92" s="204">
        <f>I93*(2/3)</f>
        <v>21.611889279664954</v>
      </c>
      <c r="J92" s="204"/>
      <c r="K92" s="205"/>
      <c r="L92" s="205"/>
      <c r="M92" s="205"/>
      <c r="N92" s="205"/>
      <c r="O92" s="205"/>
      <c r="P92" s="205"/>
      <c r="Q92" s="205"/>
      <c r="R92" s="207">
        <f>-(0.5/100)*リスク回避度推定!F11*(I93^2)+R93+(0.5/100)*リスク回避度推定!F11*(I92^2)</f>
        <v>0.3319284800557849</v>
      </c>
      <c r="S92" s="91"/>
      <c r="T92" s="91"/>
      <c r="U92" s="200"/>
      <c r="V92" s="200"/>
      <c r="W92" s="91"/>
      <c r="X92" s="91"/>
      <c r="Y92" s="91"/>
      <c r="Z92" s="91"/>
      <c r="AA92" s="91"/>
    </row>
    <row r="93" spans="9:33" ht="18" customHeight="1" x14ac:dyDescent="0.2">
      <c r="I93" s="204">
        <f>I85</f>
        <v>32.417833919497433</v>
      </c>
      <c r="J93" s="204"/>
      <c r="K93" s="205"/>
      <c r="L93" s="205"/>
      <c r="M93" s="205"/>
      <c r="N93" s="205"/>
      <c r="O93" s="205"/>
      <c r="P93" s="205"/>
      <c r="Q93" s="205"/>
      <c r="R93" s="205">
        <f>M85</f>
        <v>0.45959328007724065</v>
      </c>
      <c r="S93" s="91"/>
      <c r="T93" s="91"/>
      <c r="U93" s="200"/>
      <c r="V93" s="200"/>
      <c r="W93" s="91"/>
      <c r="X93" s="91"/>
      <c r="Y93" s="91"/>
      <c r="Z93" s="91"/>
      <c r="AA93" s="91"/>
    </row>
    <row r="94" spans="9:33" ht="18" customHeight="1" x14ac:dyDescent="0.2">
      <c r="I94" s="204">
        <f>I93*1.2</f>
        <v>38.901400703396916</v>
      </c>
      <c r="J94" s="204"/>
      <c r="K94" s="205"/>
      <c r="L94" s="205"/>
      <c r="M94" s="205"/>
      <c r="N94" s="205"/>
      <c r="O94" s="205"/>
      <c r="P94" s="205"/>
      <c r="Q94" s="205"/>
      <c r="R94" s="207">
        <f>-(0.5/100)*リスク回避度推定!F11*(I93^2)+R93+(0.5/100)*リスク回避度推定!F11*(I94^2)</f>
        <v>0.56070380169423362</v>
      </c>
      <c r="S94" s="91"/>
      <c r="T94" s="91"/>
      <c r="U94" s="91"/>
      <c r="V94" s="91"/>
      <c r="W94" s="91"/>
      <c r="X94" s="91"/>
      <c r="Y94" s="91"/>
      <c r="Z94" s="91"/>
      <c r="AA94" s="91"/>
    </row>
    <row r="95" spans="9:33" ht="18" customHeight="1" x14ac:dyDescent="0.2">
      <c r="I95" s="204">
        <f>I93*1.8</f>
        <v>58.352101055095382</v>
      </c>
      <c r="J95" s="204"/>
      <c r="K95" s="205"/>
      <c r="L95" s="205"/>
      <c r="M95" s="205"/>
      <c r="N95" s="205"/>
      <c r="O95" s="205"/>
      <c r="P95" s="205"/>
      <c r="Q95" s="205"/>
      <c r="R95" s="207">
        <f>-(0.5/100)*リスク回避度推定!F11*(I93^2)+R93+(0.5/100)*リスク回避度推定!F11*(I95^2)</f>
        <v>0.9743377537637502</v>
      </c>
      <c r="S95" s="91"/>
      <c r="T95" s="91"/>
      <c r="U95" s="91"/>
      <c r="V95" s="91"/>
      <c r="W95" s="91"/>
      <c r="X95" s="91"/>
      <c r="Y95" s="91"/>
      <c r="Z95" s="91"/>
      <c r="AA95" s="91"/>
    </row>
    <row r="96" spans="9:33" ht="18" customHeight="1" x14ac:dyDescent="0.2">
      <c r="I96" s="91"/>
      <c r="J96" s="91"/>
      <c r="K96" s="91"/>
      <c r="L96" s="91"/>
      <c r="M96" s="91"/>
      <c r="N96" s="91"/>
      <c r="O96" s="91"/>
      <c r="P96" s="91"/>
      <c r="Q96" s="91"/>
      <c r="R96" s="91"/>
      <c r="S96" s="91"/>
      <c r="T96" s="91"/>
      <c r="U96" s="91"/>
      <c r="V96" s="91"/>
      <c r="W96" s="91"/>
      <c r="X96" s="91"/>
      <c r="Y96" s="91"/>
      <c r="Z96" s="91"/>
      <c r="AA96" s="91"/>
    </row>
  </sheetData>
  <sheetProtection formatCells="0" formatColumns="0" formatRows="0" insertColumns="0" insertRows="0" insertHyperlinks="0" deleteColumns="0" deleteRows="0" sort="0" autoFilter="0" pivotTables="0"/>
  <mergeCells count="4">
    <mergeCell ref="A1:Z1"/>
    <mergeCell ref="B3:Y3"/>
    <mergeCell ref="C4:X4"/>
    <mergeCell ref="T2:U2"/>
  </mergeCells>
  <phoneticPr fontId="2"/>
  <pageMargins left="0.35433070866141736" right="0" top="0.39370078740157483" bottom="0.39370078740157483" header="0.31496062992125984" footer="0.31496062992125984"/>
  <pageSetup paperSize="8" scale="85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リスク回避度推定</vt:lpstr>
      <vt:lpstr>ポートフォリオ選択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masatoshi_fujii@pb.mufg.jp</dc:creator>
  <cp:lastModifiedBy>久仁子 藤井</cp:lastModifiedBy>
  <cp:lastPrinted>2015-12-07T04:43:52Z</cp:lastPrinted>
  <dcterms:created xsi:type="dcterms:W3CDTF">2007-05-09T03:39:39Z</dcterms:created>
  <dcterms:modified xsi:type="dcterms:W3CDTF">2025-02-05T04:12:34Z</dcterms:modified>
</cp:coreProperties>
</file>